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drewbaum-my.sharepoint.com/personal/ab_andrewbaum_com/Documents/Academic/Publications/Books/REI/Website materials/Excel/Ang/"/>
    </mc:Choice>
  </mc:AlternateContent>
  <xr:revisionPtr revIDLastSave="0" documentId="8_{6792E285-5C08-384B-B577-68CFC87963E8}" xr6:coauthVersionLast="47" xr6:coauthVersionMax="47" xr10:uidLastSave="{00000000-0000-0000-0000-000000000000}"/>
  <bookViews>
    <workbookView xWindow="0" yWindow="500" windowWidth="33600" windowHeight="16880" xr2:uid="{ECA7A12F-6344-C24D-BC99-AAFAA02EDC33}"/>
  </bookViews>
  <sheets>
    <sheet name="Table 10.4" sheetId="3" r:id="rId1"/>
    <sheet name="Box 10.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2" l="1"/>
  <c r="C27" i="2"/>
  <c r="C21" i="2"/>
  <c r="C17" i="2"/>
  <c r="G7" i="2" s="1"/>
  <c r="C10" i="2"/>
  <c r="C12" i="2" s="1"/>
  <c r="C13" i="2" s="1"/>
  <c r="D10" i="2"/>
  <c r="D12" i="2" s="1"/>
  <c r="D13" i="2" s="1"/>
  <c r="I44" i="2"/>
  <c r="K16" i="2" s="1"/>
  <c r="D7" i="3"/>
  <c r="D9" i="3" s="1"/>
  <c r="D10" i="3" s="1"/>
  <c r="C7" i="3"/>
  <c r="C9" i="3" s="1"/>
  <c r="C10" i="3" s="1"/>
  <c r="D11" i="3" s="1"/>
  <c r="K8" i="2" l="1"/>
  <c r="G30" i="2"/>
  <c r="G6" i="2"/>
  <c r="G37" i="2"/>
  <c r="G28" i="2"/>
  <c r="G12" i="2"/>
  <c r="G42" i="2"/>
  <c r="G34" i="2"/>
  <c r="G26" i="2"/>
  <c r="G18" i="2"/>
  <c r="G10" i="2"/>
  <c r="G36" i="2"/>
  <c r="G27" i="2"/>
  <c r="G9" i="2"/>
  <c r="G38" i="2"/>
  <c r="G22" i="2"/>
  <c r="G4" i="2"/>
  <c r="G29" i="2"/>
  <c r="G13" i="2"/>
  <c r="G20" i="2"/>
  <c r="G11" i="2"/>
  <c r="G14" i="2"/>
  <c r="G21" i="2"/>
  <c r="G5" i="2"/>
  <c r="G43" i="2"/>
  <c r="G35" i="2"/>
  <c r="G19" i="2"/>
  <c r="G41" i="2"/>
  <c r="G33" i="2"/>
  <c r="G25" i="2"/>
  <c r="G17" i="2"/>
  <c r="G40" i="2"/>
  <c r="G32" i="2"/>
  <c r="G24" i="2"/>
  <c r="G16" i="2"/>
  <c r="G8" i="2"/>
  <c r="G39" i="2"/>
  <c r="G31" i="2"/>
  <c r="G23" i="2"/>
  <c r="G15" i="2"/>
  <c r="K6" i="2"/>
  <c r="K27" i="2"/>
  <c r="K7" i="2"/>
  <c r="K29" i="2"/>
  <c r="K28" i="2"/>
  <c r="K26" i="2"/>
  <c r="K42" i="2"/>
  <c r="K14" i="2"/>
  <c r="K13" i="2"/>
  <c r="K12" i="2"/>
  <c r="K11" i="2"/>
  <c r="K24" i="2"/>
  <c r="K43" i="2"/>
  <c r="K22" i="2"/>
  <c r="K41" i="2"/>
  <c r="K21" i="2"/>
  <c r="K40" i="2"/>
  <c r="K15" i="2"/>
  <c r="K39" i="2"/>
  <c r="K38" i="2"/>
  <c r="K37" i="2"/>
  <c r="K36" i="2"/>
  <c r="K31" i="2"/>
  <c r="K10" i="2"/>
  <c r="K5" i="2"/>
  <c r="K25" i="2"/>
  <c r="K4" i="2"/>
  <c r="K23" i="2"/>
  <c r="K30" i="2"/>
  <c r="K9" i="2"/>
  <c r="K18" i="2"/>
  <c r="K33" i="2"/>
  <c r="K17" i="2"/>
  <c r="K20" i="2"/>
  <c r="K35" i="2"/>
  <c r="K19" i="2"/>
  <c r="K34" i="2"/>
  <c r="K32" i="2"/>
  <c r="D14" i="2"/>
  <c r="K3" i="2"/>
  <c r="C18" i="2"/>
  <c r="C22" i="2" s="1"/>
  <c r="C5" i="2" l="1"/>
  <c r="G3" i="2"/>
  <c r="I3" i="2" l="1"/>
  <c r="H4" i="2"/>
  <c r="L3" i="2"/>
  <c r="H5" i="2" l="1"/>
  <c r="I4" i="2"/>
  <c r="L4" i="2" l="1"/>
  <c r="J4" i="2"/>
  <c r="H6" i="2"/>
  <c r="I5" i="2"/>
  <c r="H7" i="2" l="1"/>
  <c r="I6" i="2"/>
  <c r="J5" i="2"/>
  <c r="L5" i="2"/>
  <c r="H8" i="2" l="1"/>
  <c r="I7" i="2"/>
  <c r="J6" i="2"/>
  <c r="L6" i="2"/>
  <c r="J7" i="2" l="1"/>
  <c r="L7" i="2"/>
  <c r="H9" i="2"/>
  <c r="I8" i="2"/>
  <c r="J8" i="2" l="1"/>
  <c r="L8" i="2"/>
  <c r="H10" i="2"/>
  <c r="I9" i="2"/>
  <c r="J9" i="2" l="1"/>
  <c r="L9" i="2"/>
  <c r="H11" i="2"/>
  <c r="I10" i="2"/>
  <c r="J10" i="2" l="1"/>
  <c r="L10" i="2"/>
  <c r="H12" i="2"/>
  <c r="I11" i="2"/>
  <c r="J11" i="2" l="1"/>
  <c r="L11" i="2"/>
  <c r="H13" i="2"/>
  <c r="I12" i="2"/>
  <c r="J12" i="2" l="1"/>
  <c r="L12" i="2"/>
  <c r="H14" i="2"/>
  <c r="I13" i="2"/>
  <c r="J13" i="2" l="1"/>
  <c r="L13" i="2"/>
  <c r="H15" i="2"/>
  <c r="I14" i="2"/>
  <c r="H16" i="2" l="1"/>
  <c r="I15" i="2"/>
  <c r="J14" i="2"/>
  <c r="L14" i="2"/>
  <c r="H17" i="2" l="1"/>
  <c r="I16" i="2"/>
  <c r="J15" i="2"/>
  <c r="L15" i="2"/>
  <c r="H18" i="2" l="1"/>
  <c r="I17" i="2"/>
  <c r="J16" i="2"/>
  <c r="L16" i="2"/>
  <c r="H19" i="2" l="1"/>
  <c r="I18" i="2"/>
  <c r="J17" i="2"/>
  <c r="L17" i="2"/>
  <c r="H20" i="2" l="1"/>
  <c r="I19" i="2"/>
  <c r="J18" i="2"/>
  <c r="L18" i="2"/>
  <c r="H21" i="2" l="1"/>
  <c r="I20" i="2"/>
  <c r="J19" i="2"/>
  <c r="L19" i="2"/>
  <c r="J20" i="2" l="1"/>
  <c r="L20" i="2"/>
  <c r="H22" i="2"/>
  <c r="I21" i="2"/>
  <c r="H23" i="2" l="1"/>
  <c r="I22" i="2"/>
  <c r="J21" i="2"/>
  <c r="L21" i="2"/>
  <c r="J22" i="2" l="1"/>
  <c r="L22" i="2"/>
  <c r="H24" i="2"/>
  <c r="I23" i="2"/>
  <c r="H25" i="2" l="1"/>
  <c r="I24" i="2"/>
  <c r="J23" i="2"/>
  <c r="L23" i="2"/>
  <c r="J24" i="2" l="1"/>
  <c r="L24" i="2"/>
  <c r="H26" i="2"/>
  <c r="I25" i="2"/>
  <c r="J25" i="2" l="1"/>
  <c r="L25" i="2"/>
  <c r="H27" i="2"/>
  <c r="I26" i="2"/>
  <c r="H28" i="2" l="1"/>
  <c r="I27" i="2"/>
  <c r="J26" i="2"/>
  <c r="L26" i="2"/>
  <c r="J27" i="2" l="1"/>
  <c r="L27" i="2"/>
  <c r="H29" i="2"/>
  <c r="I28" i="2"/>
  <c r="J28" i="2" l="1"/>
  <c r="L28" i="2"/>
  <c r="H30" i="2"/>
  <c r="I29" i="2"/>
  <c r="J29" i="2" l="1"/>
  <c r="L29" i="2"/>
  <c r="H31" i="2"/>
  <c r="I30" i="2"/>
  <c r="H32" i="2" l="1"/>
  <c r="I31" i="2"/>
  <c r="J30" i="2"/>
  <c r="L30" i="2"/>
  <c r="J31" i="2" l="1"/>
  <c r="L31" i="2"/>
  <c r="H33" i="2"/>
  <c r="I32" i="2"/>
  <c r="H34" i="2" l="1"/>
  <c r="I33" i="2"/>
  <c r="J32" i="2"/>
  <c r="L32" i="2"/>
  <c r="J33" i="2" l="1"/>
  <c r="L33" i="2"/>
  <c r="H35" i="2"/>
  <c r="I34" i="2"/>
  <c r="H36" i="2" l="1"/>
  <c r="I35" i="2"/>
  <c r="J34" i="2"/>
  <c r="L34" i="2"/>
  <c r="J35" i="2" l="1"/>
  <c r="L35" i="2"/>
  <c r="H37" i="2"/>
  <c r="I36" i="2"/>
  <c r="J36" i="2" l="1"/>
  <c r="L36" i="2"/>
  <c r="H38" i="2"/>
  <c r="I37" i="2"/>
  <c r="H39" i="2" l="1"/>
  <c r="I38" i="2"/>
  <c r="J37" i="2"/>
  <c r="L37" i="2"/>
  <c r="J38" i="2" l="1"/>
  <c r="L38" i="2"/>
  <c r="H40" i="2"/>
  <c r="I39" i="2"/>
  <c r="J39" i="2" l="1"/>
  <c r="L39" i="2"/>
  <c r="H41" i="2"/>
  <c r="I40" i="2"/>
  <c r="H42" i="2" l="1"/>
  <c r="I41" i="2"/>
  <c r="J40" i="2"/>
  <c r="L40" i="2"/>
  <c r="J41" i="2" l="1"/>
  <c r="L41" i="2"/>
  <c r="H43" i="2"/>
  <c r="I43" i="2" s="1"/>
  <c r="I42" i="2"/>
  <c r="J42" i="2" l="1"/>
  <c r="I46" i="2"/>
  <c r="I45" i="2"/>
  <c r="L42" i="2"/>
  <c r="J43" i="2"/>
  <c r="L43" i="2"/>
  <c r="L44" i="2" l="1"/>
  <c r="I47" i="2"/>
  <c r="C26" i="2" s="1"/>
  <c r="C28" i="2" s="1"/>
  <c r="C25" i="2"/>
</calcChain>
</file>

<file path=xl/sharedStrings.xml><?xml version="1.0" encoding="utf-8"?>
<sst xmlns="http://schemas.openxmlformats.org/spreadsheetml/2006/main" count="51" uniqueCount="38">
  <si>
    <t>NPV</t>
  </si>
  <si>
    <t>PV</t>
  </si>
  <si>
    <t>IRR</t>
  </si>
  <si>
    <t>year</t>
  </si>
  <si>
    <t>cash</t>
  </si>
  <si>
    <t>Capital invested</t>
  </si>
  <si>
    <t>Homes</t>
  </si>
  <si>
    <t>Unit price</t>
  </si>
  <si>
    <t>Available gross yield</t>
  </si>
  <si>
    <t>Income year 1</t>
  </si>
  <si>
    <t>inflation</t>
  </si>
  <si>
    <t>Real IRR</t>
  </si>
  <si>
    <t>Weekly rent</t>
  </si>
  <si>
    <t xml:space="preserve">Two Bedrooms </t>
  </si>
  <si>
    <t xml:space="preserve">Three Bedrooms </t>
  </si>
  <si>
    <t xml:space="preserve">Inner South East London  </t>
  </si>
  <si>
    <t xml:space="preserve">Outer South London  </t>
  </si>
  <si>
    <t>Mean</t>
  </si>
  <si>
    <t>Units</t>
  </si>
  <si>
    <t>Annual rent</t>
  </si>
  <si>
    <t>Total annual rent</t>
  </si>
  <si>
    <t>Say</t>
  </si>
  <si>
    <t>Target rate</t>
  </si>
  <si>
    <t>INPUTS</t>
  </si>
  <si>
    <t>Table 10.4: Agreed rental income: assumptions</t>
  </si>
  <si>
    <t>Weekly rent per unit</t>
  </si>
  <si>
    <t>Management to Croydon</t>
  </si>
  <si>
    <t>Agreed yield to L&amp;G</t>
  </si>
  <si>
    <t>to Croydon</t>
  </si>
  <si>
    <t>to L&amp;G</t>
  </si>
  <si>
    <t>running yield</t>
  </si>
  <si>
    <t xml:space="preserve">Target rate </t>
  </si>
  <si>
    <t>Target (real)</t>
  </si>
  <si>
    <t>PV factor</t>
  </si>
  <si>
    <t>Annual allowance per unit</t>
  </si>
  <si>
    <t>ILG real yield</t>
  </si>
  <si>
    <t>Delivered risk premium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</si>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</sst>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£&quot;#,##0_);[Red]\(&quot;£&quot;#,##0\)"/>
    <numFmt numFmtId="8" formatCode="&quot;£&quot;#,##0.00_);[Red]\(&quot;£&quot;#,##0.00\)"/>
    <numFmt numFmtId="164" formatCode="&quot;£&quot;#,##0"/>
    <numFmt numFmtId="165" formatCode="0.000%"/>
    <numFmt numFmtId="166" formatCode="0.0000"/>
    <numFmt numFmtId="167" formatCode="&quot;£&quot;#,##0.0000_);[Red]\(&quot;£&quot;#,##0.0000\)"/>
    <numFmt numFmtId="168" formatCode="&quot;£&quot;#,##0.00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 style="medium">
        <color indexed="64"/>
      </right>
      <top style="medium">
        <color indexed="64"/>
      </top>
      <bottom style="thin">
        <color theme="9" tint="0.39997558519241921"/>
      </bottom>
      <diagonal/>
    </border>
    <border>
      <left style="thin">
        <color theme="9" tint="0.39997558519241921"/>
      </left>
      <right style="medium">
        <color indexed="64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 style="medium">
        <color indexed="64"/>
      </right>
      <top style="thin">
        <color theme="9" tint="0.39997558519241921"/>
      </top>
      <bottom style="medium">
        <color indexed="64"/>
      </bottom>
      <diagonal/>
    </border>
    <border>
      <left/>
      <right style="medium">
        <color indexed="64"/>
      </right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medium">
        <color indexed="64"/>
      </bottom>
      <diagonal/>
    </border>
    <border>
      <left/>
      <right style="medium">
        <color indexed="64"/>
      </right>
      <top style="thin">
        <color theme="9" tint="0.3999755851924192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9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9" fontId="0" fillId="0" borderId="0" xfId="1" applyFont="1"/>
    <xf numFmtId="10" fontId="0" fillId="0" borderId="0" xfId="1" applyNumberFormat="1" applyFont="1"/>
    <xf numFmtId="8" fontId="0" fillId="0" borderId="0" xfId="0" applyNumberFormat="1"/>
    <xf numFmtId="6" fontId="0" fillId="0" borderId="0" xfId="0" applyNumberFormat="1"/>
    <xf numFmtId="0" fontId="2" fillId="0" borderId="0" xfId="0" applyFont="1"/>
    <xf numFmtId="0" fontId="3" fillId="0" borderId="0" xfId="0" applyFont="1"/>
    <xf numFmtId="4" fontId="2" fillId="0" borderId="0" xfId="0" applyNumberFormat="1" applyFont="1"/>
    <xf numFmtId="10" fontId="2" fillId="0" borderId="0" xfId="0" applyNumberFormat="1" applyFont="1"/>
    <xf numFmtId="9" fontId="2" fillId="0" borderId="0" xfId="0" applyNumberFormat="1" applyFont="1"/>
    <xf numFmtId="6" fontId="2" fillId="0" borderId="0" xfId="0" applyNumberFormat="1" applyFont="1"/>
    <xf numFmtId="0" fontId="4" fillId="0" borderId="0" xfId="0" applyFont="1"/>
    <xf numFmtId="167" fontId="0" fillId="0" borderId="0" xfId="0" applyNumberFormat="1"/>
    <xf numFmtId="0" fontId="0" fillId="0" borderId="0" xfId="0" applyFont="1"/>
    <xf numFmtId="0" fontId="5" fillId="0" borderId="0" xfId="0" applyFont="1" applyBorder="1" applyAlignment="1">
      <alignment horizontal="center" vertical="center"/>
    </xf>
    <xf numFmtId="8" fontId="5" fillId="0" borderId="0" xfId="0" applyNumberFormat="1" applyFont="1" applyBorder="1" applyAlignment="1">
      <alignment horizontal="center" vertical="center"/>
    </xf>
    <xf numFmtId="6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4" borderId="1" xfId="0" applyFont="1" applyFill="1" applyBorder="1"/>
    <xf numFmtId="164" fontId="0" fillId="3" borderId="7" xfId="0" applyNumberFormat="1" applyFont="1" applyFill="1" applyBorder="1"/>
    <xf numFmtId="0" fontId="7" fillId="4" borderId="4" xfId="0" applyFont="1" applyFill="1" applyBorder="1"/>
    <xf numFmtId="0" fontId="0" fillId="0" borderId="8" xfId="0" applyFont="1" applyBorder="1"/>
    <xf numFmtId="0" fontId="7" fillId="4" borderId="5" xfId="0" applyFont="1" applyFill="1" applyBorder="1"/>
    <xf numFmtId="164" fontId="0" fillId="3" borderId="9" xfId="0" applyNumberFormat="1" applyFont="1" applyFill="1" applyBorder="1"/>
    <xf numFmtId="6" fontId="2" fillId="0" borderId="6" xfId="0" applyNumberFormat="1" applyFont="1" applyBorder="1" applyAlignment="1">
      <alignment horizontal="center" vertical="center"/>
    </xf>
    <xf numFmtId="6" fontId="2" fillId="3" borderId="6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6" fontId="2" fillId="0" borderId="10" xfId="0" applyNumberFormat="1" applyFont="1" applyBorder="1" applyAlignment="1">
      <alignment horizontal="center" vertical="center"/>
    </xf>
    <xf numFmtId="6" fontId="2" fillId="3" borderId="10" xfId="0" applyNumberFormat="1" applyFont="1" applyFill="1" applyBorder="1" applyAlignment="1">
      <alignment horizontal="center" vertical="center"/>
    </xf>
    <xf numFmtId="1" fontId="2" fillId="3" borderId="10" xfId="0" applyNumberFormat="1" applyFont="1" applyFill="1" applyBorder="1" applyAlignment="1">
      <alignment horizontal="center" vertical="center"/>
    </xf>
    <xf numFmtId="6" fontId="2" fillId="3" borderId="11" xfId="0" applyNumberFormat="1" applyFont="1" applyFill="1" applyBorder="1" applyAlignment="1">
      <alignment horizontal="center" vertical="center"/>
    </xf>
    <xf numFmtId="6" fontId="2" fillId="3" borderId="12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6" fontId="2" fillId="0" borderId="0" xfId="0" applyNumberFormat="1" applyFon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6" fontId="0" fillId="0" borderId="0" xfId="0" applyNumberForma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168" fontId="0" fillId="0" borderId="0" xfId="0" applyNumberFormat="1"/>
    <xf numFmtId="6" fontId="2" fillId="0" borderId="13" xfId="0" applyNumberFormat="1" applyFont="1" applyBorder="1" applyAlignment="1">
      <alignment horizontal="center" vertical="center"/>
    </xf>
    <xf numFmtId="10" fontId="2" fillId="3" borderId="10" xfId="1" applyNumberFormat="1" applyFont="1" applyFill="1" applyBorder="1" applyAlignment="1">
      <alignment horizontal="center" vertical="center"/>
    </xf>
    <xf numFmtId="10" fontId="2" fillId="0" borderId="10" xfId="1" applyNumberFormat="1" applyFont="1" applyBorder="1" applyAlignment="1">
      <alignment horizontal="center" vertical="center"/>
    </xf>
    <xf numFmtId="10" fontId="2" fillId="3" borderId="12" xfId="1" applyNumberFormat="1" applyFont="1" applyFill="1" applyBorder="1" applyAlignment="1">
      <alignment horizontal="center" vertical="center"/>
    </xf>
    <xf numFmtId="10" fontId="4" fillId="0" borderId="0" xfId="1" applyNumberFormat="1" applyFont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6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</cellXfs>
  <cellStyles count="2">
    <cellStyle name="Normal" xfId="0" builtinId="0"/>
    <cellStyle name="Per cent" xfId="1" builtinId="5"/>
  </cellStyles>
  <dxfs count="16">
    <dxf>
      <numFmt numFmtId="10" formatCode="&quot;£&quot;#,##0_);[Red]\(&quot;£&quot;#,##0\)"/>
      <alignment horizontal="center" vertical="center" textRotation="0" wrapText="0" indent="0" justifyLastLine="0" shrinkToFit="0" readingOrder="0"/>
    </dxf>
    <dxf>
      <numFmt numFmtId="166" formatCode="0.0000"/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0" formatCode="&quot;£&quot;#,##0_);[Red]\(&quot;£&quot;#,##0\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0" formatCode="&quot;£&quot;#,##0_);[Red]\(&quot;£&quot;#,##0\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0" formatCode="&quot;£&quot;#,##0_);[Red]\(&quot;£&quot;#,##0\)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10" formatCode="&quot;£&quot;#,##0_);[Red]\(&quot;£&quot;#,##0\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10" formatCode="&quot;£&quot;#,##0_);[Red]\(&quot;£&quot;#,##0\)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84CCDAB-E8C4-49FA-9C7D-37551862103C}" name="Table1" displayName="Table1" ref="B4:D12" totalsRowShown="0" headerRowDxfId="15" dataDxfId="14" tableBorderDxfId="13">
  <tableColumns count="3">
    <tableColumn id="1" xr3:uid="{8CD0AB02-ABF5-4748-8680-18D70396C8CB}" name="Weekly rent per unit" dataDxfId="12"/>
    <tableColumn id="2" xr3:uid="{8C688427-37D5-4A70-A1DC-C0938A2B73D5}" name="Two Bedrooms " dataDxfId="11"/>
    <tableColumn id="3" xr3:uid="{A17F8486-12FA-4598-859B-B861D4AB2819}" name="Three Bedrooms " dataDxfId="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938182A-E1BF-4648-88C4-FF0ADCD6E1DC}" name="Table2" displayName="Table2" ref="F2:L43" totalsRowShown="0" headerRowDxfId="9" dataDxfId="8" tableBorderDxfId="7">
  <tableColumns count="7">
    <tableColumn id="1" xr3:uid="{2DD94D11-C1C9-426E-9835-00AB0ED4191A}" name="year" dataDxfId="6"/>
    <tableColumn id="2" xr3:uid="{1BB433D7-576C-492E-9085-7CE9551FC4C4}" name="cash" dataDxfId="5">
      <calculatedColumnFormula>($C$17)*(1+$C$19)^F3</calculatedColumnFormula>
    </tableColumn>
    <tableColumn id="3" xr3:uid="{10C90AE1-706B-46E0-988D-02534042B855}" name="to Croydon" dataDxfId="4">
      <calculatedColumnFormula>H2*(1+$C$19)</calculatedColumnFormula>
    </tableColumn>
    <tableColumn id="4" xr3:uid="{909B4798-1CBB-4C12-805C-388487FA92CD}" name="to L&amp;G" dataDxfId="3">
      <calculatedColumnFormula>G3+H3</calculatedColumnFormula>
    </tableColumn>
    <tableColumn id="5" xr3:uid="{6EFC201B-86C1-48FD-BDED-814D4E3FD0A0}" name="running yield" dataDxfId="2">
      <calculatedColumnFormula>I3/-$G$3</calculatedColumnFormula>
    </tableColumn>
    <tableColumn id="6" xr3:uid="{BD3F7C4E-EF38-42D2-8519-A5DA961124CF}" name="PV factor" dataDxfId="1">
      <calculatedColumnFormula>(1/(1+$I$44)^F3)</calculatedColumnFormula>
    </tableColumn>
    <tableColumn id="7" xr3:uid="{2EA89B7C-3122-4E91-A9D0-A8A8E48FC5AF}" name="PV" dataDxfId="0">
      <calculatedColumnFormula>I3*K3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0CDFF-7741-C147-B079-D71A7CF6FFBA}">
  <sheetPr>
    <tabColor theme="4" tint="0.59999389629810485"/>
  </sheetPr>
  <dimension ref="B1:E12"/>
  <sheetViews>
    <sheetView showGridLines="0" tabSelected="1" workbookViewId="0">
      <selection activeCell="F4" sqref="F4"/>
    </sheetView>
  </sheetViews>
  <sheetFormatPr baseColWidth="10" defaultColWidth="11" defaultRowHeight="16" x14ac:dyDescent="0.2"/>
  <cols>
    <col min="1" max="1" width="4.83203125" customWidth="1"/>
    <col min="2" max="2" width="23.83203125" customWidth="1"/>
    <col min="3" max="3" width="16" customWidth="1"/>
    <col min="4" max="4" width="17.1640625" customWidth="1"/>
  </cols>
  <sheetData>
    <row r="1" spans="2:5" x14ac:dyDescent="0.2">
      <c r="B1" s="13"/>
      <c r="C1" s="13"/>
      <c r="D1" s="13"/>
      <c r="E1" s="13"/>
    </row>
    <row r="2" spans="2:5" x14ac:dyDescent="0.2">
      <c r="B2" s="11" t="s">
        <v>24</v>
      </c>
      <c r="C2" s="13"/>
      <c r="D2" s="13"/>
      <c r="E2" s="13"/>
    </row>
    <row r="3" spans="2:5" x14ac:dyDescent="0.2">
      <c r="B3" s="13"/>
      <c r="C3" s="13"/>
      <c r="D3" s="13"/>
      <c r="E3" s="13"/>
    </row>
    <row r="4" spans="2:5" x14ac:dyDescent="0.2">
      <c r="B4" s="17" t="s">
        <v>25</v>
      </c>
      <c r="C4" s="17" t="s">
        <v>13</v>
      </c>
      <c r="D4" s="17" t="s">
        <v>14</v>
      </c>
      <c r="E4" s="13"/>
    </row>
    <row r="5" spans="2:5" x14ac:dyDescent="0.2">
      <c r="B5" s="18" t="s">
        <v>15</v>
      </c>
      <c r="C5" s="15">
        <v>281.45</v>
      </c>
      <c r="D5" s="15">
        <v>340.64</v>
      </c>
      <c r="E5" s="13"/>
    </row>
    <row r="6" spans="2:5" x14ac:dyDescent="0.2">
      <c r="B6" s="18" t="s">
        <v>16</v>
      </c>
      <c r="C6" s="15">
        <v>230.1</v>
      </c>
      <c r="D6" s="15">
        <v>279.14</v>
      </c>
      <c r="E6" s="13"/>
    </row>
    <row r="7" spans="2:5" x14ac:dyDescent="0.2">
      <c r="B7" s="18" t="s">
        <v>17</v>
      </c>
      <c r="C7" s="15">
        <f>AVERAGE(C5:C6)</f>
        <v>255.77499999999998</v>
      </c>
      <c r="D7" s="15">
        <f>AVERAGE(D5:D6)</f>
        <v>309.89</v>
      </c>
      <c r="E7" s="13"/>
    </row>
    <row r="8" spans="2:5" x14ac:dyDescent="0.2">
      <c r="B8" s="18" t="s">
        <v>18</v>
      </c>
      <c r="C8" s="14">
        <v>100</v>
      </c>
      <c r="D8" s="14">
        <v>67</v>
      </c>
      <c r="E8" s="13"/>
    </row>
    <row r="9" spans="2:5" x14ac:dyDescent="0.2">
      <c r="B9" s="18" t="s">
        <v>12</v>
      </c>
      <c r="C9" s="16">
        <f>C7*C8</f>
        <v>25577.499999999996</v>
      </c>
      <c r="D9" s="16">
        <f>D7*D8</f>
        <v>20762.629999999997</v>
      </c>
      <c r="E9" s="13"/>
    </row>
    <row r="10" spans="2:5" x14ac:dyDescent="0.2">
      <c r="B10" s="18" t="s">
        <v>19</v>
      </c>
      <c r="C10" s="16">
        <f>C9*52</f>
        <v>1330029.9999999998</v>
      </c>
      <c r="D10" s="16">
        <f>D9*52</f>
        <v>1079656.7599999998</v>
      </c>
      <c r="E10" s="13"/>
    </row>
    <row r="11" spans="2:5" x14ac:dyDescent="0.2">
      <c r="B11" s="18" t="s">
        <v>20</v>
      </c>
      <c r="C11" s="16"/>
      <c r="D11" s="16">
        <f>C10+D10</f>
        <v>2409686.7599999998</v>
      </c>
      <c r="E11" s="13"/>
    </row>
    <row r="12" spans="2:5" x14ac:dyDescent="0.2">
      <c r="B12" s="18" t="s">
        <v>21</v>
      </c>
      <c r="C12" s="16"/>
      <c r="D12" s="16">
        <v>2400000</v>
      </c>
      <c r="E12" s="13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A949E-4268-CB4C-A6FA-6CF45C129B97}">
  <sheetPr>
    <tabColor theme="9" tint="0.59999389629810485"/>
  </sheetPr>
  <dimension ref="B2:U58"/>
  <sheetViews>
    <sheetView showGridLines="0" workbookViewId="0">
      <selection activeCell="C21" sqref="C21"/>
    </sheetView>
  </sheetViews>
  <sheetFormatPr baseColWidth="10" defaultColWidth="11" defaultRowHeight="16" x14ac:dyDescent="0.2"/>
  <cols>
    <col min="1" max="1" width="5.6640625" customWidth="1"/>
    <col min="2" max="2" width="22" customWidth="1"/>
    <col min="3" max="3" width="17.83203125" customWidth="1"/>
    <col min="4" max="4" width="14.1640625" customWidth="1"/>
    <col min="5" max="5" width="6.1640625" customWidth="1"/>
    <col min="7" max="7" width="14.5" bestFit="1" customWidth="1"/>
    <col min="8" max="9" width="14.5" customWidth="1"/>
    <col min="10" max="10" width="14.1640625" customWidth="1"/>
    <col min="12" max="12" width="14.33203125" customWidth="1"/>
    <col min="13" max="13" width="18.5" customWidth="1"/>
    <col min="14" max="14" width="13" customWidth="1"/>
    <col min="15" max="15" width="14.5" customWidth="1"/>
    <col min="16" max="16" width="13.33203125" customWidth="1"/>
    <col min="17" max="17" width="11.83203125" customWidth="1"/>
    <col min="18" max="18" width="16.6640625" customWidth="1"/>
    <col min="19" max="19" width="19.83203125" customWidth="1"/>
    <col min="20" max="20" width="16" customWidth="1"/>
    <col min="21" max="21" width="12.83203125" customWidth="1"/>
  </cols>
  <sheetData>
    <row r="2" spans="2:21" ht="17" thickBot="1" x14ac:dyDescent="0.25">
      <c r="B2" s="11" t="s">
        <v>23</v>
      </c>
      <c r="F2" s="36" t="s">
        <v>3</v>
      </c>
      <c r="G2" s="36" t="s">
        <v>4</v>
      </c>
      <c r="H2" s="36" t="s">
        <v>28</v>
      </c>
      <c r="I2" s="36" t="s">
        <v>29</v>
      </c>
      <c r="J2" s="36" t="s">
        <v>30</v>
      </c>
      <c r="K2" s="36" t="s">
        <v>33</v>
      </c>
      <c r="L2" s="36" t="s">
        <v>1</v>
      </c>
      <c r="M2" s="5"/>
      <c r="N2" s="5"/>
      <c r="O2" s="5"/>
      <c r="P2" s="5"/>
      <c r="Q2" s="5"/>
      <c r="R2" s="5"/>
      <c r="S2" s="5"/>
      <c r="T2" s="5"/>
      <c r="U2" s="5"/>
    </row>
    <row r="3" spans="2:21" x14ac:dyDescent="0.2">
      <c r="B3" s="20" t="s">
        <v>5</v>
      </c>
      <c r="C3" s="21">
        <v>44600000</v>
      </c>
      <c r="F3" s="37">
        <v>0</v>
      </c>
      <c r="G3" s="38">
        <f>-C3</f>
        <v>-44600000</v>
      </c>
      <c r="H3" s="38"/>
      <c r="I3" s="38">
        <f>G3</f>
        <v>-44600000</v>
      </c>
      <c r="J3" s="37"/>
      <c r="K3" s="39">
        <f>(1/(1+$G$44)^F3)</f>
        <v>1</v>
      </c>
      <c r="L3" s="40">
        <f>G3*K3</f>
        <v>-44600000</v>
      </c>
      <c r="M3" s="6"/>
      <c r="N3" s="6"/>
      <c r="O3" s="6"/>
      <c r="P3" s="6"/>
      <c r="Q3" s="6"/>
      <c r="R3" s="5"/>
      <c r="S3" s="5"/>
    </row>
    <row r="4" spans="2:21" x14ac:dyDescent="0.2">
      <c r="B4" s="22" t="s">
        <v>6</v>
      </c>
      <c r="C4" s="23">
        <v>167</v>
      </c>
      <c r="F4" s="37">
        <v>1</v>
      </c>
      <c r="G4" s="38">
        <f>C17</f>
        <v>2400000</v>
      </c>
      <c r="H4" s="38">
        <f>$G$3*C20</f>
        <v>-1025800</v>
      </c>
      <c r="I4" s="38">
        <f>G4+H4</f>
        <v>1374200</v>
      </c>
      <c r="J4" s="41">
        <f>I4/-$G$3</f>
        <v>3.0811659192825112E-2</v>
      </c>
      <c r="K4" s="39">
        <f>(1/(1+$I$44)^F4)</f>
        <v>0.970873786407767</v>
      </c>
      <c r="L4" s="40">
        <f>I4*K4</f>
        <v>1334174.7572815535</v>
      </c>
      <c r="M4" s="5"/>
      <c r="N4" s="6"/>
      <c r="O4" s="6"/>
      <c r="P4" s="6"/>
      <c r="Q4" s="6"/>
      <c r="R4" s="6"/>
      <c r="S4" s="6"/>
      <c r="T4" s="6"/>
      <c r="U4" s="6"/>
    </row>
    <row r="5" spans="2:21" ht="17" thickBot="1" x14ac:dyDescent="0.25">
      <c r="B5" s="24" t="s">
        <v>7</v>
      </c>
      <c r="C5" s="25">
        <f>C3/C4</f>
        <v>267065.86826347304</v>
      </c>
      <c r="F5" s="37">
        <v>2</v>
      </c>
      <c r="G5" s="38">
        <f>($C$17)*(1+$C$19)^F5</f>
        <v>2496960</v>
      </c>
      <c r="H5" s="38">
        <f t="shared" ref="H5:H43" si="0">H4*(1+$C$19)</f>
        <v>-1046316</v>
      </c>
      <c r="I5" s="38">
        <f t="shared" ref="I5:I43" si="1">G5+H5</f>
        <v>1450644</v>
      </c>
      <c r="J5" s="41">
        <f t="shared" ref="J5:J43" si="2">I5/-$G$3</f>
        <v>3.2525650224215247E-2</v>
      </c>
      <c r="K5" s="39">
        <f t="shared" ref="K5:K43" si="3">(1/(1+$I$44)^F5)</f>
        <v>0.94259590913375435</v>
      </c>
      <c r="L5" s="40">
        <f t="shared" ref="L5:L43" si="4">I5*K5</f>
        <v>1367371.100009426</v>
      </c>
      <c r="M5" s="6"/>
      <c r="N5" s="5"/>
      <c r="O5" s="5"/>
      <c r="Q5" s="5"/>
      <c r="R5" s="5"/>
      <c r="S5" s="5"/>
      <c r="T5" s="5"/>
      <c r="U5" s="5"/>
    </row>
    <row r="6" spans="2:21" ht="17" thickBot="1" x14ac:dyDescent="0.25">
      <c r="F6" s="37">
        <v>3</v>
      </c>
      <c r="G6" s="38">
        <f t="shared" ref="G6:G43" si="5">($C$17)*(1+$C$19)^F6</f>
        <v>2546899.1999999997</v>
      </c>
      <c r="H6" s="38">
        <f t="shared" si="0"/>
        <v>-1067242.32</v>
      </c>
      <c r="I6" s="38">
        <f t="shared" si="1"/>
        <v>1479656.8799999997</v>
      </c>
      <c r="J6" s="41">
        <f t="shared" si="2"/>
        <v>3.3176163228699547E-2</v>
      </c>
      <c r="K6" s="39">
        <f t="shared" si="3"/>
        <v>0.91514165935315961</v>
      </c>
      <c r="L6" s="40">
        <f t="shared" si="4"/>
        <v>1354095.6524365186</v>
      </c>
      <c r="M6" s="6"/>
      <c r="N6" s="5"/>
      <c r="O6" s="5"/>
      <c r="P6" s="1"/>
      <c r="Q6" s="10"/>
      <c r="R6" s="10"/>
      <c r="S6" s="10"/>
      <c r="T6" s="10"/>
      <c r="U6" s="5"/>
    </row>
    <row r="7" spans="2:21" x14ac:dyDescent="0.2">
      <c r="B7" s="20" t="s">
        <v>12</v>
      </c>
      <c r="C7" s="34" t="s">
        <v>13</v>
      </c>
      <c r="D7" s="35" t="s">
        <v>14</v>
      </c>
      <c r="F7" s="37">
        <v>4</v>
      </c>
      <c r="G7" s="38">
        <f t="shared" si="5"/>
        <v>2597837.1839999999</v>
      </c>
      <c r="H7" s="38">
        <f t="shared" si="0"/>
        <v>-1088587.1664</v>
      </c>
      <c r="I7" s="38">
        <f t="shared" si="1"/>
        <v>1509250.0175999999</v>
      </c>
      <c r="J7" s="41">
        <f t="shared" si="2"/>
        <v>3.3839686493273541E-2</v>
      </c>
      <c r="K7" s="39">
        <f t="shared" si="3"/>
        <v>0.888487047915689</v>
      </c>
      <c r="L7" s="40">
        <f t="shared" si="4"/>
        <v>1340949.0927041257</v>
      </c>
      <c r="M7" s="6"/>
      <c r="N7" s="5"/>
      <c r="O7" s="5"/>
      <c r="P7" s="1"/>
      <c r="Q7" s="10"/>
      <c r="R7" s="10"/>
      <c r="S7" s="10"/>
      <c r="T7" s="10"/>
      <c r="U7" s="5"/>
    </row>
    <row r="8" spans="2:21" x14ac:dyDescent="0.2">
      <c r="B8" s="22" t="s">
        <v>15</v>
      </c>
      <c r="C8" s="26">
        <v>281.45</v>
      </c>
      <c r="D8" s="29">
        <v>340.64</v>
      </c>
      <c r="E8" s="3"/>
      <c r="F8" s="37">
        <v>5</v>
      </c>
      <c r="G8" s="38">
        <f t="shared" si="5"/>
        <v>2649793.9276800002</v>
      </c>
      <c r="H8" s="38">
        <f t="shared" si="0"/>
        <v>-1110358.9097279999</v>
      </c>
      <c r="I8" s="38">
        <f t="shared" si="1"/>
        <v>1539435.0179520003</v>
      </c>
      <c r="J8" s="41">
        <f t="shared" si="2"/>
        <v>3.4516480223139016E-2</v>
      </c>
      <c r="K8" s="39">
        <f t="shared" si="3"/>
        <v>0.86260878438416411</v>
      </c>
      <c r="L8" s="40">
        <f t="shared" si="4"/>
        <v>1327930.1694739887</v>
      </c>
      <c r="M8" s="6"/>
      <c r="N8" s="5"/>
      <c r="O8" s="5"/>
      <c r="Q8" s="5"/>
      <c r="R8" s="5"/>
      <c r="S8" s="10"/>
      <c r="T8" s="10"/>
      <c r="U8" s="10"/>
    </row>
    <row r="9" spans="2:21" x14ac:dyDescent="0.2">
      <c r="B9" s="22" t="s">
        <v>16</v>
      </c>
      <c r="C9" s="27">
        <v>230.1</v>
      </c>
      <c r="D9" s="30">
        <v>279.14</v>
      </c>
      <c r="E9" s="3"/>
      <c r="F9" s="37">
        <v>6</v>
      </c>
      <c r="G9" s="38">
        <f t="shared" si="5"/>
        <v>2702789.8062336002</v>
      </c>
      <c r="H9" s="38">
        <f t="shared" si="0"/>
        <v>-1132566.0879225601</v>
      </c>
      <c r="I9" s="38">
        <f t="shared" si="1"/>
        <v>1570223.7183110402</v>
      </c>
      <c r="J9" s="41">
        <f t="shared" si="2"/>
        <v>3.5206809827601798E-2</v>
      </c>
      <c r="K9" s="39">
        <f t="shared" si="3"/>
        <v>0.83748425668365445</v>
      </c>
      <c r="L9" s="40">
        <f t="shared" si="4"/>
        <v>1315037.6435567655</v>
      </c>
      <c r="M9" s="6"/>
      <c r="N9" s="10"/>
      <c r="O9" s="5"/>
      <c r="Q9" s="5"/>
      <c r="R9" s="5"/>
      <c r="S9" s="5"/>
      <c r="T9" s="5"/>
      <c r="U9" s="5"/>
    </row>
    <row r="10" spans="2:21" x14ac:dyDescent="0.2">
      <c r="B10" s="22" t="s">
        <v>17</v>
      </c>
      <c r="C10" s="26">
        <f>AVERAGE(C8:C9)</f>
        <v>255.77499999999998</v>
      </c>
      <c r="D10" s="29">
        <f>AVERAGE(D8:D9)</f>
        <v>309.89</v>
      </c>
      <c r="E10" s="3"/>
      <c r="F10" s="37">
        <v>7</v>
      </c>
      <c r="G10" s="38">
        <f t="shared" si="5"/>
        <v>2756845.6023582714</v>
      </c>
      <c r="H10" s="38">
        <f t="shared" si="0"/>
        <v>-1155217.4096810112</v>
      </c>
      <c r="I10" s="38">
        <f t="shared" si="1"/>
        <v>1601628.1926772601</v>
      </c>
      <c r="J10" s="41">
        <f t="shared" si="2"/>
        <v>3.5910946024153817E-2</v>
      </c>
      <c r="K10" s="39">
        <f t="shared" si="3"/>
        <v>0.81309151134335378</v>
      </c>
      <c r="L10" s="40">
        <f t="shared" si="4"/>
        <v>1302270.2877940778</v>
      </c>
      <c r="M10" s="6"/>
      <c r="N10" s="5"/>
      <c r="O10" s="5"/>
      <c r="Q10" s="5"/>
      <c r="R10" s="5"/>
      <c r="S10" s="8"/>
      <c r="T10" s="8"/>
      <c r="U10" s="8"/>
    </row>
    <row r="11" spans="2:21" x14ac:dyDescent="0.2">
      <c r="B11" s="22" t="s">
        <v>18</v>
      </c>
      <c r="C11" s="28">
        <v>100</v>
      </c>
      <c r="D11" s="31">
        <v>67</v>
      </c>
      <c r="F11" s="37">
        <v>8</v>
      </c>
      <c r="G11" s="38">
        <f t="shared" si="5"/>
        <v>2811982.5144054373</v>
      </c>
      <c r="H11" s="38">
        <f t="shared" si="0"/>
        <v>-1178321.7578746316</v>
      </c>
      <c r="I11" s="38">
        <f t="shared" si="1"/>
        <v>1633660.7565308057</v>
      </c>
      <c r="J11" s="41">
        <f t="shared" si="2"/>
        <v>3.6629164944636902E-2</v>
      </c>
      <c r="K11" s="39">
        <f t="shared" si="3"/>
        <v>0.78940923431393573</v>
      </c>
      <c r="L11" s="40">
        <f t="shared" si="4"/>
        <v>1289626.8869417084</v>
      </c>
      <c r="M11" s="6"/>
      <c r="N11" s="5"/>
      <c r="O11" s="5"/>
      <c r="Q11" s="5"/>
      <c r="R11" s="5"/>
      <c r="S11" s="5"/>
      <c r="T11" s="5"/>
      <c r="U11" s="5"/>
    </row>
    <row r="12" spans="2:21" x14ac:dyDescent="0.2">
      <c r="B12" s="22" t="s">
        <v>12</v>
      </c>
      <c r="C12" s="26">
        <f>C10*C11</f>
        <v>25577.499999999996</v>
      </c>
      <c r="D12" s="29">
        <f>D10*D11</f>
        <v>20762.629999999997</v>
      </c>
      <c r="E12" s="4"/>
      <c r="F12" s="37">
        <v>9</v>
      </c>
      <c r="G12" s="38">
        <f t="shared" si="5"/>
        <v>2868222.164693546</v>
      </c>
      <c r="H12" s="38">
        <f t="shared" si="0"/>
        <v>-1201888.1930321243</v>
      </c>
      <c r="I12" s="38">
        <f t="shared" si="1"/>
        <v>1666333.9716614217</v>
      </c>
      <c r="J12" s="41">
        <f t="shared" si="2"/>
        <v>3.7361748243529634E-2</v>
      </c>
      <c r="K12" s="39">
        <f t="shared" si="3"/>
        <v>0.76641673234362695</v>
      </c>
      <c r="L12" s="40">
        <f t="shared" si="4"/>
        <v>1277106.2375539248</v>
      </c>
      <c r="M12" s="6"/>
      <c r="N12" s="5"/>
      <c r="O12" s="9"/>
      <c r="Q12" s="5"/>
      <c r="R12" s="5"/>
      <c r="S12" s="10"/>
      <c r="T12" s="10"/>
      <c r="U12" s="5"/>
    </row>
    <row r="13" spans="2:21" x14ac:dyDescent="0.2">
      <c r="B13" s="22" t="s">
        <v>19</v>
      </c>
      <c r="C13" s="27">
        <f>C12*52</f>
        <v>1330029.9999999998</v>
      </c>
      <c r="D13" s="30">
        <f>D12*52</f>
        <v>1079656.7599999998</v>
      </c>
      <c r="E13" s="4"/>
      <c r="F13" s="37">
        <v>10</v>
      </c>
      <c r="G13" s="38">
        <f t="shared" si="5"/>
        <v>2925586.6079874169</v>
      </c>
      <c r="H13" s="38">
        <f t="shared" si="0"/>
        <v>-1225925.9568927668</v>
      </c>
      <c r="I13" s="38">
        <f t="shared" si="1"/>
        <v>1699660.6510946502</v>
      </c>
      <c r="J13" s="41">
        <f t="shared" si="2"/>
        <v>3.8108983208400227E-2</v>
      </c>
      <c r="K13" s="39">
        <f t="shared" si="3"/>
        <v>0.74409391489672516</v>
      </c>
      <c r="L13" s="40">
        <f t="shared" si="4"/>
        <v>1264707.147868935</v>
      </c>
      <c r="M13" s="6"/>
      <c r="N13" s="5"/>
      <c r="O13" s="8"/>
      <c r="Q13" s="5"/>
      <c r="R13" s="5"/>
      <c r="S13" s="10"/>
      <c r="T13" s="10"/>
      <c r="U13" s="5"/>
    </row>
    <row r="14" spans="2:21" x14ac:dyDescent="0.2">
      <c r="B14" s="22" t="s">
        <v>20</v>
      </c>
      <c r="C14" s="26"/>
      <c r="D14" s="29">
        <f>C13+D13</f>
        <v>2409686.7599999998</v>
      </c>
      <c r="E14" s="4"/>
      <c r="F14" s="37">
        <v>11</v>
      </c>
      <c r="G14" s="38">
        <f t="shared" si="5"/>
        <v>2984098.3401471647</v>
      </c>
      <c r="H14" s="38">
        <f t="shared" si="0"/>
        <v>-1250444.4760306221</v>
      </c>
      <c r="I14" s="38">
        <f t="shared" si="1"/>
        <v>1733653.8641165425</v>
      </c>
      <c r="J14" s="41">
        <f t="shared" si="2"/>
        <v>3.887116287256822E-2</v>
      </c>
      <c r="K14" s="39">
        <f t="shared" si="3"/>
        <v>0.72242127659876232</v>
      </c>
      <c r="L14" s="40">
        <f t="shared" si="4"/>
        <v>1252428.4376954499</v>
      </c>
      <c r="M14" s="5"/>
      <c r="N14" s="5"/>
      <c r="O14" s="5"/>
      <c r="Q14" s="5"/>
      <c r="R14" s="5"/>
      <c r="S14" s="5"/>
      <c r="T14" s="5"/>
      <c r="U14" s="5"/>
    </row>
    <row r="15" spans="2:21" ht="17" thickBot="1" x14ac:dyDescent="0.25">
      <c r="B15" s="24" t="s">
        <v>21</v>
      </c>
      <c r="C15" s="32"/>
      <c r="D15" s="33">
        <v>2400000</v>
      </c>
      <c r="E15" s="4"/>
      <c r="F15" s="37">
        <v>12</v>
      </c>
      <c r="G15" s="38">
        <f t="shared" si="5"/>
        <v>3043780.3069501086</v>
      </c>
      <c r="H15" s="38">
        <f t="shared" si="0"/>
        <v>-1275453.3655512347</v>
      </c>
      <c r="I15" s="38">
        <f t="shared" si="1"/>
        <v>1768326.9413988739</v>
      </c>
      <c r="J15" s="41">
        <f t="shared" si="2"/>
        <v>3.9648586130019592E-2</v>
      </c>
      <c r="K15" s="39">
        <f t="shared" si="3"/>
        <v>0.70137988019297326</v>
      </c>
      <c r="L15" s="40">
        <f t="shared" si="4"/>
        <v>1240268.9383003491</v>
      </c>
      <c r="M15" s="6"/>
      <c r="N15" s="6"/>
      <c r="O15" s="6"/>
      <c r="Q15" s="6"/>
      <c r="R15" s="6"/>
      <c r="S15" s="5"/>
      <c r="T15" s="5"/>
    </row>
    <row r="16" spans="2:21" ht="17" thickBot="1" x14ac:dyDescent="0.25">
      <c r="F16" s="37">
        <v>13</v>
      </c>
      <c r="G16" s="38">
        <f t="shared" si="5"/>
        <v>3104655.9130891105</v>
      </c>
      <c r="H16" s="38">
        <f t="shared" si="0"/>
        <v>-1300962.4328622594</v>
      </c>
      <c r="I16" s="38">
        <f t="shared" si="1"/>
        <v>1803693.4802268511</v>
      </c>
      <c r="J16" s="41">
        <f t="shared" si="2"/>
        <v>4.0441557852619978E-2</v>
      </c>
      <c r="K16" s="39">
        <f t="shared" si="3"/>
        <v>0.68095133999317792</v>
      </c>
      <c r="L16" s="40">
        <f t="shared" si="4"/>
        <v>1228227.4922974329</v>
      </c>
      <c r="M16" s="6"/>
      <c r="N16" s="6"/>
      <c r="O16" s="6"/>
      <c r="Q16" s="6"/>
      <c r="R16" s="6"/>
      <c r="S16" s="6"/>
      <c r="T16" s="6"/>
    </row>
    <row r="17" spans="2:21" x14ac:dyDescent="0.2">
      <c r="B17" s="20" t="s">
        <v>9</v>
      </c>
      <c r="C17" s="43">
        <f>D15</f>
        <v>2400000</v>
      </c>
      <c r="D17" s="42"/>
      <c r="F17" s="37">
        <v>14</v>
      </c>
      <c r="G17" s="38">
        <f t="shared" si="5"/>
        <v>3166749.031350893</v>
      </c>
      <c r="H17" s="38">
        <f t="shared" si="0"/>
        <v>-1326981.6815195046</v>
      </c>
      <c r="I17" s="38">
        <f t="shared" si="1"/>
        <v>1839767.3498313883</v>
      </c>
      <c r="J17" s="41">
        <f t="shared" si="2"/>
        <v>4.1250389009672386E-2</v>
      </c>
      <c r="K17" s="39">
        <f t="shared" si="3"/>
        <v>0.66111780581861923</v>
      </c>
      <c r="L17" s="40">
        <f t="shared" si="4"/>
        <v>1216302.9535372634</v>
      </c>
      <c r="M17" s="6"/>
      <c r="N17" s="5"/>
      <c r="O17" s="5"/>
      <c r="Q17" s="5"/>
      <c r="R17" s="5"/>
      <c r="S17" s="5"/>
      <c r="T17" s="5"/>
      <c r="U17" s="5"/>
    </row>
    <row r="18" spans="2:21" x14ac:dyDescent="0.2">
      <c r="B18" s="22" t="s">
        <v>8</v>
      </c>
      <c r="C18" s="44">
        <f>C17/C3</f>
        <v>5.3811659192825115E-2</v>
      </c>
      <c r="D18" s="2"/>
      <c r="F18" s="37">
        <v>15</v>
      </c>
      <c r="G18" s="38">
        <f t="shared" si="5"/>
        <v>3230084.0119779101</v>
      </c>
      <c r="H18" s="38">
        <f t="shared" si="0"/>
        <v>-1353521.3151498947</v>
      </c>
      <c r="I18" s="38">
        <f t="shared" si="1"/>
        <v>1876562.6968280154</v>
      </c>
      <c r="J18" s="41">
        <f t="shared" si="2"/>
        <v>4.2075396789865813E-2</v>
      </c>
      <c r="K18" s="39">
        <f t="shared" si="3"/>
        <v>0.64186194739671765</v>
      </c>
      <c r="L18" s="40">
        <f t="shared" si="4"/>
        <v>1204494.1869980663</v>
      </c>
      <c r="M18" s="6"/>
      <c r="N18" s="5"/>
      <c r="O18" s="5"/>
      <c r="P18" s="1"/>
      <c r="Q18" s="10"/>
      <c r="R18" s="10"/>
      <c r="S18" s="10"/>
      <c r="T18" s="10"/>
      <c r="U18" s="5"/>
    </row>
    <row r="19" spans="2:21" x14ac:dyDescent="0.2">
      <c r="B19" s="22" t="s">
        <v>10</v>
      </c>
      <c r="C19" s="45">
        <v>0.02</v>
      </c>
      <c r="D19" s="2"/>
      <c r="E19" t="s">
        <v>37</v>
      </c>
      <c r="F19" s="37">
        <v>16</v>
      </c>
      <c r="G19" s="38">
        <f t="shared" si="5"/>
        <v>3294685.6922174687</v>
      </c>
      <c r="H19" s="38">
        <f t="shared" si="0"/>
        <v>-1380591.7414528925</v>
      </c>
      <c r="I19" s="38">
        <f t="shared" si="1"/>
        <v>1914093.9507645762</v>
      </c>
      <c r="J19" s="41">
        <f t="shared" si="2"/>
        <v>4.2916904725663146E-2</v>
      </c>
      <c r="K19" s="39">
        <f t="shared" si="3"/>
        <v>0.62316693922011435</v>
      </c>
      <c r="L19" s="40">
        <f t="shared" si="4"/>
        <v>1192800.0686776971</v>
      </c>
      <c r="M19" s="6"/>
      <c r="N19" s="5"/>
      <c r="O19" s="5"/>
      <c r="P19" s="1"/>
      <c r="Q19" s="10"/>
      <c r="R19" s="10"/>
      <c r="S19" s="10"/>
      <c r="T19" s="10"/>
      <c r="U19" s="5"/>
    </row>
    <row r="20" spans="2:21" x14ac:dyDescent="0.2">
      <c r="B20" s="22" t="s">
        <v>26</v>
      </c>
      <c r="C20" s="44">
        <v>2.3E-2</v>
      </c>
      <c r="D20" s="2"/>
      <c r="F20" s="37">
        <v>17</v>
      </c>
      <c r="G20" s="38">
        <f t="shared" si="5"/>
        <v>3360579.4060618184</v>
      </c>
      <c r="H20" s="38">
        <f t="shared" si="0"/>
        <v>-1408203.5762819503</v>
      </c>
      <c r="I20" s="38">
        <f t="shared" si="1"/>
        <v>1952375.829779868</v>
      </c>
      <c r="J20" s="41">
        <f t="shared" si="2"/>
        <v>4.3775242820176412E-2</v>
      </c>
      <c r="K20" s="39">
        <f t="shared" si="3"/>
        <v>0.60501644584477121</v>
      </c>
      <c r="L20" s="40">
        <f t="shared" si="4"/>
        <v>1181219.4854866518</v>
      </c>
      <c r="M20" s="6"/>
      <c r="N20" s="5"/>
      <c r="O20" s="5"/>
      <c r="Q20" s="10"/>
      <c r="R20" s="10"/>
      <c r="S20" s="10"/>
      <c r="T20" s="10"/>
      <c r="U20" s="10"/>
    </row>
    <row r="21" spans="2:21" x14ac:dyDescent="0.2">
      <c r="B21" s="22" t="s">
        <v>34</v>
      </c>
      <c r="C21" s="29">
        <f>(C20*C3)/C4</f>
        <v>6142.5149700598804</v>
      </c>
      <c r="D21" s="42"/>
      <c r="F21" s="37">
        <v>18</v>
      </c>
      <c r="G21" s="38">
        <f t="shared" si="5"/>
        <v>3427790.9941830547</v>
      </c>
      <c r="H21" s="38">
        <f t="shared" si="0"/>
        <v>-1436367.6478075893</v>
      </c>
      <c r="I21" s="38">
        <f t="shared" si="1"/>
        <v>1991423.3463754654</v>
      </c>
      <c r="J21" s="41">
        <f t="shared" si="2"/>
        <v>4.4650747676579942E-2</v>
      </c>
      <c r="K21" s="39">
        <f t="shared" si="3"/>
        <v>0.5873946076162827</v>
      </c>
      <c r="L21" s="40">
        <f t="shared" si="4"/>
        <v>1169751.3351421212</v>
      </c>
      <c r="M21" s="6"/>
      <c r="N21" s="10"/>
      <c r="O21" s="5"/>
      <c r="Q21" s="5"/>
      <c r="R21" s="5"/>
      <c r="S21" s="5"/>
      <c r="T21" s="5"/>
      <c r="U21" s="5"/>
    </row>
    <row r="22" spans="2:21" x14ac:dyDescent="0.2">
      <c r="B22" s="22" t="s">
        <v>27</v>
      </c>
      <c r="C22" s="44">
        <f>C18-C20</f>
        <v>3.0811659192825115E-2</v>
      </c>
      <c r="D22" s="2"/>
      <c r="F22" s="37">
        <v>19</v>
      </c>
      <c r="G22" s="38">
        <f t="shared" si="5"/>
        <v>3496346.8140667155</v>
      </c>
      <c r="H22" s="38">
        <f t="shared" si="0"/>
        <v>-1465095.0007637411</v>
      </c>
      <c r="I22" s="38">
        <f t="shared" si="1"/>
        <v>2031251.8133029744</v>
      </c>
      <c r="J22" s="41">
        <f t="shared" si="2"/>
        <v>4.5543762630111534E-2</v>
      </c>
      <c r="K22" s="39">
        <f t="shared" si="3"/>
        <v>0.57028602681192497</v>
      </c>
      <c r="L22" s="40">
        <f t="shared" si="4"/>
        <v>1158394.5260630713</v>
      </c>
      <c r="M22" s="6"/>
      <c r="N22" s="5"/>
      <c r="O22" s="5"/>
      <c r="Q22" s="5"/>
      <c r="R22" s="5"/>
      <c r="S22" s="8"/>
      <c r="T22" s="8"/>
      <c r="U22" s="8"/>
    </row>
    <row r="23" spans="2:21" x14ac:dyDescent="0.2">
      <c r="B23" s="22" t="s">
        <v>31</v>
      </c>
      <c r="C23" s="45">
        <v>0.03</v>
      </c>
      <c r="D23" s="2"/>
      <c r="F23" s="37">
        <v>20</v>
      </c>
      <c r="G23" s="38">
        <f t="shared" si="5"/>
        <v>3566273.7503480501</v>
      </c>
      <c r="H23" s="38">
        <f t="shared" si="0"/>
        <v>-1494396.9007790159</v>
      </c>
      <c r="I23" s="38">
        <f t="shared" si="1"/>
        <v>2071876.8495690343</v>
      </c>
      <c r="J23" s="41">
        <f t="shared" si="2"/>
        <v>4.645463788271377E-2</v>
      </c>
      <c r="K23" s="39">
        <f t="shared" si="3"/>
        <v>0.55367575418633497</v>
      </c>
      <c r="L23" s="40">
        <f t="shared" si="4"/>
        <v>1147147.9772663428</v>
      </c>
      <c r="M23" s="6"/>
      <c r="N23" s="5"/>
      <c r="O23" s="5"/>
      <c r="Q23" s="5"/>
      <c r="R23" s="5"/>
      <c r="S23" s="5"/>
      <c r="T23" s="5"/>
      <c r="U23" s="5"/>
    </row>
    <row r="24" spans="2:21" x14ac:dyDescent="0.2">
      <c r="B24" s="22" t="s">
        <v>32</v>
      </c>
      <c r="C24" s="44">
        <f>C23-C19</f>
        <v>9.9999999999999985E-3</v>
      </c>
      <c r="D24" s="2"/>
      <c r="F24" s="37">
        <v>21</v>
      </c>
      <c r="G24" s="38">
        <f t="shared" si="5"/>
        <v>3637599.2253550109</v>
      </c>
      <c r="H24" s="38">
        <f t="shared" si="0"/>
        <v>-1524284.8387945963</v>
      </c>
      <c r="I24" s="38">
        <f t="shared" si="1"/>
        <v>2113314.3865604149</v>
      </c>
      <c r="J24" s="41">
        <f t="shared" si="2"/>
        <v>4.7383730640368049E-2</v>
      </c>
      <c r="K24" s="39">
        <f t="shared" si="3"/>
        <v>0.5375492759090631</v>
      </c>
      <c r="L24" s="40">
        <f t="shared" si="4"/>
        <v>1136010.6182637569</v>
      </c>
      <c r="M24" s="6"/>
      <c r="N24" s="5"/>
      <c r="O24" s="8"/>
      <c r="Q24" s="5"/>
      <c r="R24" s="5"/>
      <c r="S24" s="10"/>
      <c r="T24" s="10"/>
      <c r="U24" s="5"/>
    </row>
    <row r="25" spans="2:21" x14ac:dyDescent="0.2">
      <c r="B25" s="22" t="s">
        <v>2</v>
      </c>
      <c r="C25" s="45">
        <f>I46</f>
        <v>3.1555975461939889E-2</v>
      </c>
      <c r="D25" s="2"/>
      <c r="F25" s="37">
        <v>22</v>
      </c>
      <c r="G25" s="38">
        <f t="shared" si="5"/>
        <v>3710351.2098621111</v>
      </c>
      <c r="H25" s="38">
        <f t="shared" si="0"/>
        <v>-1554770.5355704883</v>
      </c>
      <c r="I25" s="38">
        <f t="shared" si="1"/>
        <v>2155580.6742916228</v>
      </c>
      <c r="J25" s="41">
        <f t="shared" si="2"/>
        <v>4.8331405253175398E-2</v>
      </c>
      <c r="K25" s="39">
        <f t="shared" si="3"/>
        <v>0.52189250088258554</v>
      </c>
      <c r="L25" s="40">
        <f t="shared" si="4"/>
        <v>1124981.388960225</v>
      </c>
      <c r="M25" s="6"/>
      <c r="N25" s="5"/>
      <c r="O25" s="8"/>
      <c r="Q25" s="5"/>
      <c r="R25" s="5"/>
      <c r="S25" s="10"/>
      <c r="T25" s="10"/>
      <c r="U25" s="5"/>
    </row>
    <row r="26" spans="2:21" x14ac:dyDescent="0.2">
      <c r="B26" s="22" t="s">
        <v>11</v>
      </c>
      <c r="C26" s="44">
        <f>I47</f>
        <v>1.1329387707784244E-2</v>
      </c>
      <c r="D26" s="2"/>
      <c r="F26" s="37">
        <v>23</v>
      </c>
      <c r="G26" s="38">
        <f t="shared" si="5"/>
        <v>3784558.2340593529</v>
      </c>
      <c r="H26" s="38">
        <f t="shared" si="0"/>
        <v>-1585865.9462818981</v>
      </c>
      <c r="I26" s="38">
        <f t="shared" si="1"/>
        <v>2198692.2877774546</v>
      </c>
      <c r="J26" s="41">
        <f t="shared" si="2"/>
        <v>4.9298033358238895E-2</v>
      </c>
      <c r="K26" s="39">
        <f t="shared" si="3"/>
        <v>0.50669174842969467</v>
      </c>
      <c r="L26" s="40">
        <f t="shared" si="4"/>
        <v>1114059.2395528439</v>
      </c>
      <c r="M26" s="5"/>
      <c r="N26" s="5"/>
      <c r="O26" s="5"/>
      <c r="P26" s="5"/>
      <c r="Q26" s="5"/>
      <c r="R26" s="5"/>
      <c r="S26" s="5"/>
      <c r="T26" s="5"/>
      <c r="U26" s="5"/>
    </row>
    <row r="27" spans="2:21" x14ac:dyDescent="0.2">
      <c r="B27" s="22" t="s">
        <v>35</v>
      </c>
      <c r="C27" s="45">
        <f>-0.02</f>
        <v>-0.02</v>
      </c>
      <c r="D27" s="2"/>
      <c r="F27" s="37">
        <v>24</v>
      </c>
      <c r="G27" s="38">
        <f t="shared" si="5"/>
        <v>3860249.3987405403</v>
      </c>
      <c r="H27" s="38">
        <f t="shared" si="0"/>
        <v>-1617583.2652075361</v>
      </c>
      <c r="I27" s="38">
        <f t="shared" si="1"/>
        <v>2242666.1335330042</v>
      </c>
      <c r="J27" s="41">
        <f t="shared" si="2"/>
        <v>5.0283994025403685E-2</v>
      </c>
      <c r="K27" s="39">
        <f t="shared" si="3"/>
        <v>0.49193373633950943</v>
      </c>
      <c r="L27" s="40">
        <f t="shared" si="4"/>
        <v>1103243.130430972</v>
      </c>
      <c r="M27" s="6"/>
      <c r="N27" s="6"/>
      <c r="O27" s="6"/>
      <c r="P27" s="6"/>
      <c r="Q27" s="5"/>
      <c r="R27" s="5"/>
    </row>
    <row r="28" spans="2:21" ht="17" thickBot="1" x14ac:dyDescent="0.25">
      <c r="B28" s="24" t="s">
        <v>36</v>
      </c>
      <c r="C28" s="46">
        <f>C26-C27</f>
        <v>3.1329387707784248E-2</v>
      </c>
      <c r="D28" s="2"/>
      <c r="F28" s="37">
        <v>25</v>
      </c>
      <c r="G28" s="38">
        <f t="shared" si="5"/>
        <v>3937454.3867153511</v>
      </c>
      <c r="H28" s="38">
        <f t="shared" si="0"/>
        <v>-1649934.9305116867</v>
      </c>
      <c r="I28" s="38">
        <f t="shared" si="1"/>
        <v>2287519.4562036647</v>
      </c>
      <c r="J28" s="41">
        <f t="shared" si="2"/>
        <v>5.1289673905911763E-2</v>
      </c>
      <c r="K28" s="39">
        <f t="shared" si="3"/>
        <v>0.47760556926165965</v>
      </c>
      <c r="L28" s="40">
        <f t="shared" si="4"/>
        <v>1092532.0320772734</v>
      </c>
      <c r="M28" s="5"/>
      <c r="N28" s="6"/>
      <c r="O28" s="6"/>
      <c r="P28" s="6"/>
      <c r="Q28" s="6"/>
      <c r="R28" s="6"/>
      <c r="S28" s="6"/>
      <c r="T28" s="6"/>
    </row>
    <row r="29" spans="2:21" x14ac:dyDescent="0.2">
      <c r="C29" s="3"/>
      <c r="F29" s="37">
        <v>26</v>
      </c>
      <c r="G29" s="38">
        <f t="shared" si="5"/>
        <v>4016203.4744496583</v>
      </c>
      <c r="H29" s="38">
        <f t="shared" si="0"/>
        <v>-1682933.6291219206</v>
      </c>
      <c r="I29" s="38">
        <f t="shared" si="1"/>
        <v>2333269.8453277377</v>
      </c>
      <c r="J29" s="41">
        <f t="shared" si="2"/>
        <v>5.2315467384029993E-2</v>
      </c>
      <c r="K29" s="39">
        <f t="shared" si="3"/>
        <v>0.46369472743850448</v>
      </c>
      <c r="L29" s="40">
        <f t="shared" si="4"/>
        <v>1081924.9249697269</v>
      </c>
      <c r="M29" s="6"/>
      <c r="N29" s="5"/>
      <c r="O29" s="5"/>
      <c r="P29" s="5"/>
      <c r="Q29" s="5"/>
      <c r="R29" s="5"/>
      <c r="S29" s="5"/>
      <c r="T29" s="5"/>
      <c r="U29" s="5"/>
    </row>
    <row r="30" spans="2:21" x14ac:dyDescent="0.2">
      <c r="C30" s="12"/>
      <c r="F30" s="37">
        <v>27</v>
      </c>
      <c r="G30" s="38">
        <f t="shared" si="5"/>
        <v>4096527.5439386507</v>
      </c>
      <c r="H30" s="38">
        <f t="shared" si="0"/>
        <v>-1716592.301704359</v>
      </c>
      <c r="I30" s="38">
        <f t="shared" si="1"/>
        <v>2379935.2422342915</v>
      </c>
      <c r="J30" s="41">
        <f t="shared" si="2"/>
        <v>5.3361776731710574E-2</v>
      </c>
      <c r="K30" s="39">
        <f t="shared" si="3"/>
        <v>0.45018905576553836</v>
      </c>
      <c r="L30" s="40">
        <f t="shared" si="4"/>
        <v>1071420.7994845835</v>
      </c>
      <c r="M30" s="6"/>
      <c r="N30" s="5"/>
      <c r="O30" s="5"/>
      <c r="P30" s="8"/>
      <c r="Q30" s="5"/>
      <c r="R30" s="5"/>
      <c r="S30" s="7"/>
      <c r="T30" s="7"/>
      <c r="U30" s="5"/>
    </row>
    <row r="31" spans="2:21" x14ac:dyDescent="0.2">
      <c r="F31" s="37">
        <v>28</v>
      </c>
      <c r="G31" s="38">
        <f t="shared" si="5"/>
        <v>4178458.0948174247</v>
      </c>
      <c r="H31" s="38">
        <f t="shared" si="0"/>
        <v>-1750924.1477384462</v>
      </c>
      <c r="I31" s="38">
        <f t="shared" si="1"/>
        <v>2427533.9470789786</v>
      </c>
      <c r="J31" s="41">
        <f t="shared" si="2"/>
        <v>5.4429012266344813E-2</v>
      </c>
      <c r="K31" s="39">
        <f t="shared" si="3"/>
        <v>0.4370767531704256</v>
      </c>
      <c r="L31" s="40">
        <f t="shared" si="4"/>
        <v>1061018.6558002678</v>
      </c>
      <c r="M31" s="6"/>
      <c r="N31" s="5"/>
      <c r="O31" s="5"/>
      <c r="P31" s="8"/>
      <c r="Q31" s="5"/>
      <c r="R31" s="5"/>
      <c r="S31" s="7"/>
      <c r="T31" s="7"/>
      <c r="U31" s="5"/>
    </row>
    <row r="32" spans="2:21" x14ac:dyDescent="0.2">
      <c r="F32" s="37">
        <v>29</v>
      </c>
      <c r="G32" s="38">
        <f t="shared" si="5"/>
        <v>4262027.2567137722</v>
      </c>
      <c r="H32" s="38">
        <f t="shared" si="0"/>
        <v>-1785942.6306932152</v>
      </c>
      <c r="I32" s="38">
        <f t="shared" si="1"/>
        <v>2476084.6260205572</v>
      </c>
      <c r="J32" s="41">
        <f t="shared" si="2"/>
        <v>5.5517592511671689E-2</v>
      </c>
      <c r="K32" s="39">
        <f t="shared" si="3"/>
        <v>0.42434636230138412</v>
      </c>
      <c r="L32" s="40">
        <f t="shared" si="4"/>
        <v>1050717.5038022066</v>
      </c>
      <c r="M32" s="6"/>
      <c r="N32" s="5"/>
      <c r="O32" s="5"/>
      <c r="P32" s="5"/>
      <c r="Q32" s="5"/>
      <c r="R32" s="5"/>
      <c r="S32" s="10"/>
      <c r="T32" s="10"/>
      <c r="U32" s="10"/>
    </row>
    <row r="33" spans="6:21" x14ac:dyDescent="0.2">
      <c r="F33" s="37">
        <v>30</v>
      </c>
      <c r="G33" s="38">
        <f t="shared" si="5"/>
        <v>4347267.8018480483</v>
      </c>
      <c r="H33" s="38">
        <f t="shared" si="0"/>
        <v>-1821661.4833070794</v>
      </c>
      <c r="I33" s="38">
        <f t="shared" si="1"/>
        <v>2525606.3185409689</v>
      </c>
      <c r="J33" s="41">
        <f t="shared" si="2"/>
        <v>5.662794436190513E-2</v>
      </c>
      <c r="K33" s="39">
        <f t="shared" si="3"/>
        <v>0.41198675951590691</v>
      </c>
      <c r="L33" s="40">
        <f t="shared" si="4"/>
        <v>1040516.3629885932</v>
      </c>
      <c r="M33" s="6"/>
      <c r="N33" s="10"/>
      <c r="O33" s="5"/>
      <c r="P33" s="5"/>
      <c r="Q33" s="5"/>
      <c r="R33" s="5"/>
      <c r="S33" s="5"/>
      <c r="T33" s="5"/>
      <c r="U33" s="5"/>
    </row>
    <row r="34" spans="6:21" x14ac:dyDescent="0.2">
      <c r="F34" s="37">
        <v>31</v>
      </c>
      <c r="G34" s="38">
        <f t="shared" si="5"/>
        <v>4434213.1578850085</v>
      </c>
      <c r="H34" s="38">
        <f t="shared" si="0"/>
        <v>-1858094.712973221</v>
      </c>
      <c r="I34" s="38">
        <f t="shared" si="1"/>
        <v>2576118.4449117873</v>
      </c>
      <c r="J34" s="41">
        <f t="shared" si="2"/>
        <v>5.7760503249143211E-2</v>
      </c>
      <c r="K34" s="39">
        <f t="shared" si="3"/>
        <v>0.39998714516107459</v>
      </c>
      <c r="L34" s="40">
        <f t="shared" si="4"/>
        <v>1030414.2623770528</v>
      </c>
      <c r="M34" s="6"/>
      <c r="N34" s="5"/>
      <c r="O34" s="5"/>
      <c r="P34" s="5"/>
      <c r="Q34" s="5"/>
      <c r="R34" s="5"/>
      <c r="S34" s="8"/>
      <c r="T34" s="8"/>
      <c r="U34" s="8"/>
    </row>
    <row r="35" spans="6:21" x14ac:dyDescent="0.2">
      <c r="F35" s="37">
        <v>32</v>
      </c>
      <c r="G35" s="38">
        <f t="shared" si="5"/>
        <v>4522897.4210427096</v>
      </c>
      <c r="H35" s="38">
        <f t="shared" si="0"/>
        <v>-1895256.6072326854</v>
      </c>
      <c r="I35" s="38">
        <f t="shared" si="1"/>
        <v>2627640.8138100244</v>
      </c>
      <c r="J35" s="41">
        <f t="shared" si="2"/>
        <v>5.8915713314126109E-2</v>
      </c>
      <c r="K35" s="39">
        <f t="shared" si="3"/>
        <v>0.38833703413696569</v>
      </c>
      <c r="L35" s="40">
        <f t="shared" si="4"/>
        <v>1020410.2404122277</v>
      </c>
      <c r="M35" s="6"/>
      <c r="N35" s="5"/>
      <c r="O35" s="5"/>
      <c r="P35" s="5"/>
      <c r="Q35" s="5"/>
      <c r="R35" s="5"/>
      <c r="S35" s="5"/>
      <c r="T35" s="5"/>
      <c r="U35" s="5"/>
    </row>
    <row r="36" spans="6:21" x14ac:dyDescent="0.2">
      <c r="F36" s="37">
        <v>33</v>
      </c>
      <c r="G36" s="38">
        <f t="shared" si="5"/>
        <v>4613355.3694635639</v>
      </c>
      <c r="H36" s="38">
        <f t="shared" si="0"/>
        <v>-1933161.7393773391</v>
      </c>
      <c r="I36" s="38">
        <f t="shared" si="1"/>
        <v>2680193.6300862245</v>
      </c>
      <c r="J36" s="41">
        <f t="shared" si="2"/>
        <v>6.0094027580408618E-2</v>
      </c>
      <c r="K36" s="39">
        <f t="shared" si="3"/>
        <v>0.37702624673491814</v>
      </c>
      <c r="L36" s="40">
        <f t="shared" si="4"/>
        <v>1010503.3448742448</v>
      </c>
      <c r="M36" s="6"/>
      <c r="N36" s="5"/>
      <c r="O36" s="8"/>
      <c r="P36" s="5"/>
      <c r="Q36" s="5"/>
      <c r="R36" s="5"/>
      <c r="S36" s="7"/>
      <c r="T36" s="7"/>
      <c r="U36" s="5"/>
    </row>
    <row r="37" spans="6:21" x14ac:dyDescent="0.2">
      <c r="F37" s="37">
        <v>34</v>
      </c>
      <c r="G37" s="38">
        <f t="shared" si="5"/>
        <v>4705622.4768528352</v>
      </c>
      <c r="H37" s="38">
        <f t="shared" si="0"/>
        <v>-1971824.9741648859</v>
      </c>
      <c r="I37" s="38">
        <f t="shared" si="1"/>
        <v>2733797.5026879492</v>
      </c>
      <c r="J37" s="41">
        <f t="shared" si="2"/>
        <v>6.1295908132016796E-2</v>
      </c>
      <c r="K37" s="39">
        <f t="shared" si="3"/>
        <v>0.36604489974263904</v>
      </c>
      <c r="L37" s="40">
        <f t="shared" si="4"/>
        <v>1000692.6327880874</v>
      </c>
      <c r="M37" s="6"/>
      <c r="N37" s="5"/>
      <c r="O37" s="8"/>
      <c r="P37" s="5"/>
      <c r="Q37" s="5"/>
      <c r="R37" s="5"/>
      <c r="S37" s="7"/>
      <c r="T37" s="7"/>
      <c r="U37" s="5"/>
    </row>
    <row r="38" spans="6:21" x14ac:dyDescent="0.2">
      <c r="F38" s="37">
        <v>35</v>
      </c>
      <c r="G38" s="38">
        <f t="shared" si="5"/>
        <v>4799734.9263898917</v>
      </c>
      <c r="H38" s="38">
        <f t="shared" si="0"/>
        <v>-2011261.4736481837</v>
      </c>
      <c r="I38" s="38">
        <f t="shared" si="1"/>
        <v>2788473.4527417077</v>
      </c>
      <c r="J38" s="41">
        <f t="shared" si="2"/>
        <v>6.2521826294657121E-2</v>
      </c>
      <c r="K38" s="39">
        <f t="shared" si="3"/>
        <v>0.35538339780838735</v>
      </c>
      <c r="L38" s="40">
        <f t="shared" si="4"/>
        <v>990977.17033383367</v>
      </c>
      <c r="M38" s="5"/>
      <c r="N38" s="5"/>
      <c r="O38" s="5"/>
      <c r="P38" s="5"/>
      <c r="Q38" s="5"/>
      <c r="R38" s="5"/>
      <c r="S38" s="5"/>
      <c r="T38" s="5"/>
      <c r="U38" s="5"/>
    </row>
    <row r="39" spans="6:21" x14ac:dyDescent="0.2">
      <c r="F39" s="37">
        <v>36</v>
      </c>
      <c r="G39" s="38">
        <f t="shared" si="5"/>
        <v>4895729.6249176888</v>
      </c>
      <c r="H39" s="38">
        <f t="shared" si="0"/>
        <v>-2051486.7031211474</v>
      </c>
      <c r="I39" s="38">
        <f t="shared" si="1"/>
        <v>2844242.9217965417</v>
      </c>
      <c r="J39" s="41">
        <f t="shared" si="2"/>
        <v>6.3772262820550263E-2</v>
      </c>
      <c r="K39" s="39">
        <f t="shared" si="3"/>
        <v>0.34503242505668674</v>
      </c>
      <c r="L39" s="40">
        <f t="shared" si="4"/>
        <v>981356.03275777702</v>
      </c>
    </row>
    <row r="40" spans="6:21" x14ac:dyDescent="0.2">
      <c r="F40" s="37">
        <v>37</v>
      </c>
      <c r="G40" s="38">
        <f t="shared" si="5"/>
        <v>4993644.2174160434</v>
      </c>
      <c r="H40" s="38">
        <f t="shared" si="0"/>
        <v>-2092516.4371835703</v>
      </c>
      <c r="I40" s="38">
        <f t="shared" si="1"/>
        <v>2901127.7802324733</v>
      </c>
      <c r="J40" s="41">
        <f t="shared" si="2"/>
        <v>6.504770807696128E-2</v>
      </c>
      <c r="K40" s="39">
        <f t="shared" si="3"/>
        <v>0.33498293694823961</v>
      </c>
      <c r="L40" s="40">
        <f t="shared" si="4"/>
        <v>971828.30428440089</v>
      </c>
    </row>
    <row r="41" spans="6:21" x14ac:dyDescent="0.2">
      <c r="F41" s="37">
        <v>38</v>
      </c>
      <c r="G41" s="38">
        <f t="shared" si="5"/>
        <v>5093517.1017643651</v>
      </c>
      <c r="H41" s="38">
        <f t="shared" si="0"/>
        <v>-2134366.7659272416</v>
      </c>
      <c r="I41" s="38">
        <f t="shared" si="1"/>
        <v>2959150.3358371234</v>
      </c>
      <c r="J41" s="41">
        <f t="shared" si="2"/>
        <v>6.6348662238500528E-2</v>
      </c>
      <c r="K41" s="39">
        <f t="shared" si="3"/>
        <v>0.3252261523769317</v>
      </c>
      <c r="L41" s="40">
        <f t="shared" si="4"/>
        <v>962393.07802921289</v>
      </c>
    </row>
    <row r="42" spans="6:21" x14ac:dyDescent="0.2">
      <c r="F42" s="37">
        <v>39</v>
      </c>
      <c r="G42" s="38">
        <f t="shared" si="5"/>
        <v>5195387.4437996503</v>
      </c>
      <c r="H42" s="38">
        <f t="shared" si="0"/>
        <v>-2177054.1012457865</v>
      </c>
      <c r="I42" s="38">
        <f t="shared" si="1"/>
        <v>3018333.3425538638</v>
      </c>
      <c r="J42" s="41">
        <f t="shared" si="2"/>
        <v>6.7675635483270491E-2</v>
      </c>
      <c r="K42" s="39">
        <f t="shared" si="3"/>
        <v>0.31575354599702099</v>
      </c>
      <c r="L42" s="40">
        <f t="shared" si="4"/>
        <v>953049.45591242355</v>
      </c>
    </row>
    <row r="43" spans="6:21" x14ac:dyDescent="0.2">
      <c r="F43" s="37">
        <v>40</v>
      </c>
      <c r="G43" s="38">
        <f t="shared" si="5"/>
        <v>5299295.1926756445</v>
      </c>
      <c r="H43" s="38">
        <f t="shared" si="0"/>
        <v>-2220595.1832707021</v>
      </c>
      <c r="I43" s="38">
        <f t="shared" si="1"/>
        <v>3078700.0094049424</v>
      </c>
      <c r="J43" s="41">
        <f t="shared" si="2"/>
        <v>6.902914819293593E-2</v>
      </c>
      <c r="K43" s="39">
        <f t="shared" si="3"/>
        <v>0.30655684077380685</v>
      </c>
      <c r="L43" s="40">
        <f t="shared" si="4"/>
        <v>943796.54857346858</v>
      </c>
    </row>
    <row r="44" spans="6:21" x14ac:dyDescent="0.2">
      <c r="F44" s="19" t="s">
        <v>22</v>
      </c>
      <c r="G44" s="47"/>
      <c r="H44" s="47"/>
      <c r="I44" s="47">
        <f>C23</f>
        <v>0.03</v>
      </c>
      <c r="J44" s="48"/>
      <c r="K44" s="19"/>
      <c r="L44" s="49">
        <f>SUM(L4:L43)+L3</f>
        <v>1306150.1037586406</v>
      </c>
    </row>
    <row r="45" spans="6:21" x14ac:dyDescent="0.2">
      <c r="F45" s="19" t="s">
        <v>0</v>
      </c>
      <c r="G45" s="49"/>
      <c r="H45" s="49"/>
      <c r="I45" s="49">
        <f>NPV(I44,I4:I43)+I3</f>
        <v>1306150.1037586108</v>
      </c>
      <c r="J45" s="19"/>
      <c r="K45" s="19"/>
      <c r="L45" s="19"/>
    </row>
    <row r="46" spans="6:21" x14ac:dyDescent="0.2">
      <c r="F46" s="19" t="s">
        <v>2</v>
      </c>
      <c r="G46" s="50"/>
      <c r="H46" s="50"/>
      <c r="I46" s="50">
        <f>IRR(I3:I43,0.1)</f>
        <v>3.1555975461939889E-2</v>
      </c>
      <c r="J46" s="19"/>
      <c r="K46" s="19"/>
      <c r="L46" s="19"/>
    </row>
    <row r="47" spans="6:21" x14ac:dyDescent="0.2">
      <c r="F47" s="19" t="s">
        <v>11</v>
      </c>
      <c r="G47" s="51"/>
      <c r="H47" s="51"/>
      <c r="I47" s="51">
        <f>(1+I46)/(1+C19)-1</f>
        <v>1.1329387707784244E-2</v>
      </c>
      <c r="J47" s="19"/>
      <c r="K47" s="19"/>
      <c r="L47" s="19"/>
    </row>
    <row r="51" spans="4:13" x14ac:dyDescent="0.2"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4:13" x14ac:dyDescent="0.2"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4:13" x14ac:dyDescent="0.2"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4:13" x14ac:dyDescent="0.2">
      <c r="J54" s="11"/>
      <c r="K54" s="11"/>
      <c r="L54" s="11"/>
      <c r="M54" s="11"/>
    </row>
    <row r="55" spans="4:13" x14ac:dyDescent="0.2">
      <c r="J55" s="11"/>
      <c r="K55" s="11"/>
      <c r="L55" s="11"/>
      <c r="M55" s="11"/>
    </row>
    <row r="56" spans="4:13" x14ac:dyDescent="0.2">
      <c r="J56" s="11"/>
      <c r="K56" s="11"/>
      <c r="L56" s="11"/>
      <c r="M56" s="11"/>
    </row>
    <row r="57" spans="4:13" x14ac:dyDescent="0.2">
      <c r="J57" s="11"/>
      <c r="K57" s="11"/>
      <c r="L57" s="11"/>
      <c r="M57" s="11"/>
    </row>
    <row r="58" spans="4:13" x14ac:dyDescent="0.2">
      <c r="J58" s="11"/>
      <c r="K58" s="11"/>
      <c r="L58" s="11"/>
      <c r="M58" s="11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10.4</vt:lpstr>
      <vt:lpstr>Box 10.2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Baum</dc:creator>
  <cp:lastModifiedBy>Microsoft Office User</cp:lastModifiedBy>
  <dcterms:created xsi:type="dcterms:W3CDTF">2021-12-23T14:55:21Z</dcterms:created>
  <dcterms:modified xsi:type="dcterms:W3CDTF">2022-07-18T08:52:25Z</dcterms:modified>
</cp:coreProperties>
</file>