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drewbaum-my.sharepoint.com/personal/ab_andrewbaum_com/Documents/Academic/Publications/Books/REI/Website materials/Excel/Ang/"/>
    </mc:Choice>
  </mc:AlternateContent>
  <xr:revisionPtr revIDLastSave="0" documentId="8_{A2B5B02B-D5CE-914A-B401-1E177DD88E1C}" xr6:coauthVersionLast="47" xr6:coauthVersionMax="47" xr10:uidLastSave="{00000000-0000-0000-0000-000000000000}"/>
  <bookViews>
    <workbookView xWindow="0" yWindow="500" windowWidth="40960" windowHeight="20900" activeTab="4" xr2:uid="{ECA7A12F-6344-C24D-BC99-AAFAA02EDC33}"/>
  </bookViews>
  <sheets>
    <sheet name="Table 10.10" sheetId="6" r:id="rId1"/>
    <sheet name="Table 10.11" sheetId="7" r:id="rId2"/>
    <sheet name="Table 10.12" sheetId="8" r:id="rId3"/>
    <sheet name="Table 10.13" sheetId="9" r:id="rId4"/>
    <sheet name="Table 10.14" sheetId="10" r:id="rId5"/>
    <sheet name="Table 10.15" sheetId="11" r:id="rId6"/>
    <sheet name="Summary" sheetId="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4" l="1"/>
  <c r="F7" i="4"/>
  <c r="F9" i="4" s="1"/>
  <c r="C11" i="4"/>
  <c r="D30" i="4" s="1"/>
  <c r="E30" i="4" s="1"/>
  <c r="F30" i="4" s="1"/>
  <c r="G30" i="4" s="1"/>
  <c r="H30" i="4" s="1"/>
  <c r="I30" i="4" s="1"/>
  <c r="J30" i="4" s="1"/>
  <c r="K30" i="4" s="1"/>
  <c r="L30" i="4" s="1"/>
  <c r="M30" i="4" s="1"/>
  <c r="N30" i="4" s="1"/>
  <c r="O30" i="4" s="1"/>
  <c r="C8" i="4"/>
  <c r="C9" i="4" s="1"/>
  <c r="M4" i="11"/>
  <c r="C12" i="4" l="1"/>
  <c r="C27" i="4" s="1"/>
  <c r="F13" i="4"/>
  <c r="F15" i="4" s="1"/>
  <c r="F14" i="4" l="1"/>
  <c r="F16" i="4" s="1"/>
  <c r="F17" i="4" s="1"/>
  <c r="C5" i="9" l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C24" i="11"/>
  <c r="C22" i="11"/>
  <c r="H28" i="11" s="1"/>
  <c r="H29" i="11" s="1"/>
  <c r="H30" i="11" s="1"/>
  <c r="H31" i="11" s="1"/>
  <c r="H32" i="11" s="1"/>
  <c r="H33" i="11" s="1"/>
  <c r="H34" i="11" s="1"/>
  <c r="H35" i="11" s="1"/>
  <c r="H36" i="11" s="1"/>
  <c r="H37" i="11" s="1"/>
  <c r="H38" i="11" s="1"/>
  <c r="H39" i="11" s="1"/>
  <c r="C23" i="11"/>
  <c r="E27" i="11" s="1"/>
  <c r="I27" i="11" s="1"/>
  <c r="F29" i="11"/>
  <c r="F30" i="11" s="1"/>
  <c r="F31" i="11" s="1"/>
  <c r="H4" i="11"/>
  <c r="F6" i="11"/>
  <c r="F7" i="11" s="1"/>
  <c r="F8" i="11" s="1"/>
  <c r="F9" i="11" s="1"/>
  <c r="F10" i="11" s="1"/>
  <c r="F11" i="11" s="1"/>
  <c r="F12" i="11" s="1"/>
  <c r="F13" i="11" s="1"/>
  <c r="F14" i="11" s="1"/>
  <c r="F15" i="11" s="1"/>
  <c r="F16" i="11" s="1"/>
  <c r="C7" i="10"/>
  <c r="C9" i="10" s="1"/>
  <c r="C10" i="9"/>
  <c r="G15" i="9" s="1"/>
  <c r="E14" i="9"/>
  <c r="G6" i="11" s="1"/>
  <c r="G29" i="11" s="1"/>
  <c r="E15" i="9"/>
  <c r="G7" i="11" s="1"/>
  <c r="G30" i="11" s="1"/>
  <c r="E16" i="9"/>
  <c r="G8" i="11" s="1"/>
  <c r="G31" i="11" s="1"/>
  <c r="E17" i="9"/>
  <c r="G9" i="11" s="1"/>
  <c r="G32" i="11" s="1"/>
  <c r="E18" i="9"/>
  <c r="G10" i="11" s="1"/>
  <c r="G33" i="11" s="1"/>
  <c r="E19" i="9"/>
  <c r="G11" i="11" s="1"/>
  <c r="G34" i="11" s="1"/>
  <c r="E20" i="9"/>
  <c r="G12" i="11" s="1"/>
  <c r="G35" i="11" s="1"/>
  <c r="E21" i="9"/>
  <c r="G13" i="11" s="1"/>
  <c r="G36" i="11" s="1"/>
  <c r="E22" i="9"/>
  <c r="G14" i="11" s="1"/>
  <c r="G37" i="11" s="1"/>
  <c r="E23" i="9"/>
  <c r="G15" i="11" s="1"/>
  <c r="G38" i="11" s="1"/>
  <c r="E24" i="9"/>
  <c r="G16" i="11" s="1"/>
  <c r="G39" i="11" s="1"/>
  <c r="E13" i="9"/>
  <c r="E7" i="8"/>
  <c r="E9" i="8" s="1"/>
  <c r="D7" i="8"/>
  <c r="D9" i="8" s="1"/>
  <c r="C7" i="8"/>
  <c r="C9" i="8" s="1"/>
  <c r="C10" i="7"/>
  <c r="C6" i="7"/>
  <c r="C8" i="7" s="1"/>
  <c r="C54" i="4"/>
  <c r="C55" i="4" s="1"/>
  <c r="C49" i="4"/>
  <c r="C51" i="4" s="1"/>
  <c r="C12" i="6"/>
  <c r="C13" i="6" s="1"/>
  <c r="C7" i="6"/>
  <c r="C9" i="6" s="1"/>
  <c r="C79" i="4"/>
  <c r="C80" i="4" s="1"/>
  <c r="C75" i="4"/>
  <c r="C70" i="4"/>
  <c r="C72" i="4" s="1"/>
  <c r="C62" i="4"/>
  <c r="C63" i="4" s="1"/>
  <c r="C40" i="4"/>
  <c r="C41" i="4" s="1"/>
  <c r="C42" i="4" s="1"/>
  <c r="C44" i="4" s="1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D28" i="4"/>
  <c r="C21" i="4"/>
  <c r="M34" i="4" s="1"/>
  <c r="C14" i="4"/>
  <c r="C76" i="4" l="1"/>
  <c r="C81" i="4" s="1"/>
  <c r="I30" i="11"/>
  <c r="J30" i="11" s="1"/>
  <c r="I32" i="11"/>
  <c r="K32" i="11" s="1"/>
  <c r="I29" i="11"/>
  <c r="J29" i="11" s="1"/>
  <c r="I31" i="11"/>
  <c r="J31" i="11" s="1"/>
  <c r="F13" i="9"/>
  <c r="H15" i="11"/>
  <c r="J15" i="11" s="1"/>
  <c r="H14" i="11"/>
  <c r="I14" i="11" s="1"/>
  <c r="H13" i="11"/>
  <c r="J13" i="11" s="1"/>
  <c r="H12" i="11"/>
  <c r="I12" i="11" s="1"/>
  <c r="H11" i="11"/>
  <c r="J11" i="11" s="1"/>
  <c r="H10" i="11"/>
  <c r="J10" i="11" s="1"/>
  <c r="H9" i="11"/>
  <c r="I9" i="11" s="1"/>
  <c r="H8" i="11"/>
  <c r="I8" i="11" s="1"/>
  <c r="H7" i="11"/>
  <c r="I7" i="11" s="1"/>
  <c r="H6" i="11"/>
  <c r="J6" i="11" s="1"/>
  <c r="F32" i="11"/>
  <c r="C11" i="7"/>
  <c r="F24" i="9"/>
  <c r="G5" i="11"/>
  <c r="G13" i="9"/>
  <c r="H13" i="9" s="1"/>
  <c r="G14" i="9"/>
  <c r="G22" i="9"/>
  <c r="G24" i="9"/>
  <c r="G21" i="9"/>
  <c r="G20" i="9"/>
  <c r="G19" i="9"/>
  <c r="G18" i="9"/>
  <c r="G17" i="9"/>
  <c r="G16" i="9"/>
  <c r="G23" i="9"/>
  <c r="F14" i="9"/>
  <c r="F23" i="9"/>
  <c r="F15" i="9"/>
  <c r="H15" i="9" s="1"/>
  <c r="F22" i="9"/>
  <c r="F21" i="9"/>
  <c r="F20" i="9"/>
  <c r="F19" i="9"/>
  <c r="F18" i="9"/>
  <c r="F17" i="9"/>
  <c r="F16" i="9"/>
  <c r="C56" i="4"/>
  <c r="C57" i="4"/>
  <c r="C14" i="6"/>
  <c r="C15" i="6"/>
  <c r="D31" i="4"/>
  <c r="D32" i="4" s="1"/>
  <c r="C31" i="4"/>
  <c r="E28" i="4"/>
  <c r="G34" i="4"/>
  <c r="J34" i="4"/>
  <c r="I34" i="4"/>
  <c r="D34" i="4"/>
  <c r="K34" i="4"/>
  <c r="L34" i="4"/>
  <c r="N34" i="4"/>
  <c r="E34" i="4"/>
  <c r="F34" i="4"/>
  <c r="O34" i="4"/>
  <c r="H34" i="4"/>
  <c r="H23" i="9" l="1"/>
  <c r="K31" i="11"/>
  <c r="K29" i="11"/>
  <c r="K30" i="11"/>
  <c r="J32" i="11"/>
  <c r="J14" i="11"/>
  <c r="D35" i="4"/>
  <c r="I15" i="11"/>
  <c r="H5" i="11"/>
  <c r="I5" i="11" s="1"/>
  <c r="G28" i="11"/>
  <c r="I28" i="11" s="1"/>
  <c r="H24" i="9"/>
  <c r="I11" i="11"/>
  <c r="J7" i="11"/>
  <c r="J8" i="11"/>
  <c r="I10" i="11"/>
  <c r="J9" i="11"/>
  <c r="I13" i="11"/>
  <c r="J12" i="11"/>
  <c r="I6" i="11"/>
  <c r="F33" i="11"/>
  <c r="I33" i="11" s="1"/>
  <c r="H22" i="9"/>
  <c r="H25" i="9" s="1"/>
  <c r="H14" i="9"/>
  <c r="H16" i="9"/>
  <c r="H17" i="9"/>
  <c r="H18" i="9"/>
  <c r="H19" i="9"/>
  <c r="H20" i="9"/>
  <c r="H21" i="9"/>
  <c r="C58" i="4"/>
  <c r="C59" i="4" s="1"/>
  <c r="O27" i="4" s="1"/>
  <c r="C16" i="6"/>
  <c r="C17" i="6" s="1"/>
  <c r="E39" i="11" s="1"/>
  <c r="F28" i="4"/>
  <c r="E31" i="4"/>
  <c r="E32" i="4" s="1"/>
  <c r="K33" i="11" l="1"/>
  <c r="J33" i="11"/>
  <c r="J5" i="11"/>
  <c r="C64" i="4"/>
  <c r="J28" i="11"/>
  <c r="K28" i="11"/>
  <c r="F34" i="11"/>
  <c r="I34" i="11" s="1"/>
  <c r="E16" i="11"/>
  <c r="H16" i="11" s="1"/>
  <c r="H17" i="11" s="1"/>
  <c r="C4" i="8"/>
  <c r="E35" i="4"/>
  <c r="G28" i="4"/>
  <c r="F31" i="4"/>
  <c r="F32" i="4" s="1"/>
  <c r="J34" i="11" l="1"/>
  <c r="K34" i="11"/>
  <c r="F35" i="11"/>
  <c r="I35" i="11" s="1"/>
  <c r="E4" i="8"/>
  <c r="E10" i="8" s="1"/>
  <c r="D4" i="8"/>
  <c r="D10" i="8" s="1"/>
  <c r="C10" i="8"/>
  <c r="F35" i="4"/>
  <c r="H28" i="4"/>
  <c r="G31" i="4"/>
  <c r="G32" i="4" s="1"/>
  <c r="K35" i="11" l="1"/>
  <c r="J35" i="11"/>
  <c r="F36" i="11"/>
  <c r="I36" i="11" s="1"/>
  <c r="G35" i="4"/>
  <c r="H31" i="4"/>
  <c r="H32" i="4" s="1"/>
  <c r="I28" i="4"/>
  <c r="K36" i="11" l="1"/>
  <c r="J36" i="11"/>
  <c r="F37" i="11"/>
  <c r="I37" i="11" s="1"/>
  <c r="J28" i="4"/>
  <c r="I31" i="4"/>
  <c r="I32" i="4" s="1"/>
  <c r="H35" i="4"/>
  <c r="J37" i="11" l="1"/>
  <c r="K37" i="11"/>
  <c r="F38" i="11"/>
  <c r="I38" i="11" s="1"/>
  <c r="I35" i="4"/>
  <c r="K28" i="4"/>
  <c r="J31" i="4"/>
  <c r="J32" i="4" s="1"/>
  <c r="J38" i="11" l="1"/>
  <c r="K38" i="11"/>
  <c r="F39" i="11"/>
  <c r="I39" i="11" s="1"/>
  <c r="J35" i="4"/>
  <c r="L28" i="4"/>
  <c r="K31" i="4"/>
  <c r="K32" i="4" s="1"/>
  <c r="I40" i="11" l="1"/>
  <c r="M28" i="4"/>
  <c r="L31" i="4"/>
  <c r="L32" i="4" s="1"/>
  <c r="K35" i="4"/>
  <c r="L35" i="4" l="1"/>
  <c r="N28" i="4"/>
  <c r="M31" i="4"/>
  <c r="M32" i="4" s="1"/>
  <c r="M35" i="4" l="1"/>
  <c r="O28" i="4"/>
  <c r="O31" i="4" s="1"/>
  <c r="N31" i="4"/>
  <c r="N32" i="4" s="1"/>
  <c r="C33" i="4" l="1"/>
  <c r="C22" i="4" s="1"/>
  <c r="N35" i="4"/>
  <c r="O35" i="4"/>
  <c r="C35" i="4" s="1"/>
  <c r="C23" i="4" s="1"/>
</calcChain>
</file>

<file path=xl/sharedStrings.xml><?xml version="1.0" encoding="utf-8"?>
<sst xmlns="http://schemas.openxmlformats.org/spreadsheetml/2006/main" count="182" uniqueCount="92">
  <si>
    <t>PV</t>
  </si>
  <si>
    <t>IRR</t>
  </si>
  <si>
    <t>Yield</t>
  </si>
  <si>
    <t>Residual</t>
  </si>
  <si>
    <t>Cap rate</t>
  </si>
  <si>
    <t>Price</t>
  </si>
  <si>
    <t>Discount rate</t>
  </si>
  <si>
    <t>Size</t>
  </si>
  <si>
    <t>Rent</t>
  </si>
  <si>
    <t>Loan to value</t>
  </si>
  <si>
    <t>Interest rate</t>
  </si>
  <si>
    <t>Purchase costs</t>
  </si>
  <si>
    <t>Price psf</t>
  </si>
  <si>
    <t>Repairs</t>
  </si>
  <si>
    <t>Outgoings</t>
  </si>
  <si>
    <t>Inflation</t>
  </si>
  <si>
    <t>Rent growth</t>
  </si>
  <si>
    <t>RFR</t>
  </si>
  <si>
    <t>Rp</t>
  </si>
  <si>
    <t>Year</t>
  </si>
  <si>
    <t>Capital</t>
  </si>
  <si>
    <t>Interest</t>
  </si>
  <si>
    <t>Net</t>
  </si>
  <si>
    <t>Yield on cost</t>
  </si>
  <si>
    <t>Income strip</t>
  </si>
  <si>
    <t>Gilt yield</t>
  </si>
  <si>
    <t>Risk premium</t>
  </si>
  <si>
    <t>Discount factor</t>
  </si>
  <si>
    <t>Value</t>
  </si>
  <si>
    <t>Less fees</t>
  </si>
  <si>
    <t>Development value</t>
    <phoneticPr fontId="2" type="noConversion"/>
  </si>
  <si>
    <t>Size</t>
    <phoneticPr fontId="2" type="noConversion"/>
  </si>
  <si>
    <t>Rent psf</t>
    <phoneticPr fontId="2" type="noConversion"/>
  </si>
  <si>
    <t>Rent</t>
    <phoneticPr fontId="2" type="noConversion"/>
  </si>
  <si>
    <t>Cap rate</t>
    <phoneticPr fontId="2" type="noConversion"/>
  </si>
  <si>
    <t>GDV</t>
    <phoneticPr fontId="2" type="noConversion"/>
  </si>
  <si>
    <t>Cost psf</t>
    <phoneticPr fontId="2" type="noConversion"/>
  </si>
  <si>
    <t>Demolition</t>
  </si>
  <si>
    <t>Construction</t>
    <phoneticPr fontId="2" type="noConversion"/>
  </si>
  <si>
    <t>Fees @15%</t>
    <phoneticPr fontId="2" type="noConversion"/>
  </si>
  <si>
    <t>Profit@15% cost</t>
  </si>
  <si>
    <t>Residual</t>
    <phoneticPr fontId="2" type="noConversion"/>
  </si>
  <si>
    <t>Risk free rate</t>
  </si>
  <si>
    <t>Sale at EUV</t>
  </si>
  <si>
    <t>Rent per sq ft</t>
  </si>
  <si>
    <t>Less refurb cost</t>
  </si>
  <si>
    <t>Cost psf</t>
  </si>
  <si>
    <t>Total cost</t>
  </si>
  <si>
    <t>Net value</t>
  </si>
  <si>
    <t>Total</t>
  </si>
  <si>
    <t>Total costs</t>
  </si>
  <si>
    <t>Total costs inc profit</t>
  </si>
  <si>
    <t>Period</t>
  </si>
  <si>
    <t>Expenses</t>
  </si>
  <si>
    <t>Net cash flow</t>
  </si>
  <si>
    <t>PV £1*</t>
  </si>
  <si>
    <t>Cost inflation</t>
  </si>
  <si>
    <t>Costs</t>
  </si>
  <si>
    <t>INPUTS</t>
  </si>
  <si>
    <t>Term</t>
  </si>
  <si>
    <t>Yield (net)</t>
  </si>
  <si>
    <t>Table 10.10: Argyle House residual land value, 2033</t>
  </si>
  <si>
    <t>Table 10.11: Argyle House existing use value at lease end</t>
  </si>
  <si>
    <t>Table 10.12: Present value of development site</t>
  </si>
  <si>
    <t>Table 10.13: Contracted rent, expenses and net cash flow</t>
  </si>
  <si>
    <t>Table 10.14: Income strip valuation</t>
  </si>
  <si>
    <t>Table 10.15: IRR, no leverage</t>
  </si>
  <si>
    <t>Table 10.16: IRR, 50% leverage</t>
  </si>
  <si>
    <t>LTV</t>
  </si>
  <si>
    <t>Debt</t>
  </si>
  <si>
    <t>Equity</t>
  </si>
  <si>
    <t>Income</t>
  </si>
  <si>
    <t>Rent received</t>
  </si>
  <si>
    <t>Purchase costs %</t>
  </si>
  <si>
    <t>PV factor</t>
  </si>
  <si>
    <t xml:space="preserve">PV </t>
  </si>
  <si>
    <t>Argyle House: summary analysis</t>
  </si>
  <si>
    <t xml:space="preserve"> 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</si>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</sst>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£&quot;#,##0"/>
    <numFmt numFmtId="165" formatCode="0.000%"/>
    <numFmt numFmtId="166" formatCode="&quot;£&quot;#,##0.00"/>
    <numFmt numFmtId="167" formatCode="#,##0.0000"/>
    <numFmt numFmtId="168" formatCode="0.0000"/>
    <numFmt numFmtId="169" formatCode="0.0000000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Times New Roman"/>
      <family val="1"/>
    </font>
    <font>
      <b/>
      <sz val="12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theme="0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medium">
        <color theme="0"/>
      </right>
      <top style="thin">
        <color theme="0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theme="0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auto="1"/>
      </right>
      <top style="thin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theme="0"/>
      </right>
      <top/>
      <bottom/>
      <diagonal/>
    </border>
    <border>
      <left style="medium">
        <color theme="0"/>
      </left>
      <right style="medium">
        <color auto="1"/>
      </right>
      <top/>
      <bottom/>
      <diagonal/>
    </border>
    <border>
      <left style="medium">
        <color auto="1"/>
      </left>
      <right style="medium">
        <color theme="0"/>
      </right>
      <top/>
      <bottom style="medium">
        <color auto="1"/>
      </bottom>
      <diagonal/>
    </border>
    <border>
      <left style="medium">
        <color theme="0"/>
      </left>
      <right style="medium">
        <color auto="1"/>
      </right>
      <top/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auto="1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thin">
        <color theme="9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9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theme="9"/>
      </left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ont="1"/>
    <xf numFmtId="164" fontId="0" fillId="0" borderId="0" xfId="0" applyNumberFormat="1"/>
    <xf numFmtId="9" fontId="0" fillId="0" borderId="0" xfId="1" applyFont="1"/>
    <xf numFmtId="10" fontId="0" fillId="0" borderId="0" xfId="1" applyNumberFormat="1" applyFont="1"/>
    <xf numFmtId="0" fontId="4" fillId="0" borderId="0" xfId="0" applyFont="1"/>
    <xf numFmtId="0" fontId="3" fillId="0" borderId="0" xfId="0" applyFont="1"/>
    <xf numFmtId="168" fontId="0" fillId="0" borderId="0" xfId="0" applyNumberFormat="1"/>
    <xf numFmtId="168" fontId="0" fillId="0" borderId="0" xfId="0" applyNumberFormat="1" applyFont="1"/>
    <xf numFmtId="0" fontId="5" fillId="0" borderId="0" xfId="0" applyFont="1" applyAlignment="1">
      <alignment horizontal="justify" vertical="center"/>
    </xf>
    <xf numFmtId="0" fontId="6" fillId="0" borderId="0" xfId="0" applyFont="1"/>
    <xf numFmtId="3" fontId="0" fillId="0" borderId="0" xfId="0" applyNumberFormat="1" applyFont="1"/>
    <xf numFmtId="164" fontId="0" fillId="0" borderId="0" xfId="0" applyNumberFormat="1" applyFont="1"/>
    <xf numFmtId="166" fontId="0" fillId="0" borderId="0" xfId="0" applyNumberFormat="1" applyFont="1"/>
    <xf numFmtId="167" fontId="0" fillId="0" borderId="0" xfId="0" applyNumberFormat="1" applyFont="1"/>
    <xf numFmtId="10" fontId="0" fillId="0" borderId="0" xfId="0" applyNumberFormat="1" applyFont="1"/>
    <xf numFmtId="165" fontId="0" fillId="0" borderId="0" xfId="1" applyNumberFormat="1" applyFont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10" fontId="0" fillId="4" borderId="5" xfId="1" applyNumberFormat="1" applyFont="1" applyFill="1" applyBorder="1"/>
    <xf numFmtId="10" fontId="0" fillId="3" borderId="5" xfId="1" applyNumberFormat="1" applyFont="1" applyFill="1" applyBorder="1"/>
    <xf numFmtId="10" fontId="0" fillId="4" borderId="6" xfId="1" applyNumberFormat="1" applyFont="1" applyFill="1" applyBorder="1"/>
    <xf numFmtId="164" fontId="0" fillId="3" borderId="4" xfId="1" applyNumberFormat="1" applyFont="1" applyFill="1" applyBorder="1"/>
    <xf numFmtId="164" fontId="0" fillId="4" borderId="5" xfId="1" applyNumberFormat="1" applyFont="1" applyFill="1" applyBorder="1"/>
    <xf numFmtId="164" fontId="0" fillId="3" borderId="5" xfId="1" applyNumberFormat="1" applyFont="1" applyFill="1" applyBorder="1"/>
    <xf numFmtId="164" fontId="0" fillId="4" borderId="6" xfId="1" applyNumberFormat="1" applyFont="1" applyFill="1" applyBorder="1"/>
    <xf numFmtId="164" fontId="0" fillId="3" borderId="9" xfId="1" applyNumberFormat="1" applyFont="1" applyFill="1" applyBorder="1"/>
    <xf numFmtId="10" fontId="0" fillId="4" borderId="11" xfId="1" applyNumberFormat="1" applyFont="1" applyFill="1" applyBorder="1"/>
    <xf numFmtId="164" fontId="0" fillId="3" borderId="13" xfId="1" applyNumberFormat="1" applyFont="1" applyFill="1" applyBorder="1"/>
    <xf numFmtId="164" fontId="0" fillId="3" borderId="6" xfId="1" applyNumberFormat="1" applyFont="1" applyFill="1" applyBorder="1"/>
    <xf numFmtId="1" fontId="0" fillId="3" borderId="5" xfId="1" applyNumberFormat="1" applyFont="1" applyFill="1" applyBorder="1"/>
    <xf numFmtId="168" fontId="0" fillId="4" borderId="5" xfId="1" applyNumberFormat="1" applyFont="1" applyFill="1" applyBorder="1"/>
    <xf numFmtId="164" fontId="0" fillId="3" borderId="14" xfId="1" applyNumberFormat="1" applyFont="1" applyFill="1" applyBorder="1"/>
    <xf numFmtId="10" fontId="0" fillId="4" borderId="15" xfId="1" applyNumberFormat="1" applyFont="1" applyFill="1" applyBorder="1"/>
    <xf numFmtId="10" fontId="0" fillId="3" borderId="15" xfId="1" applyNumberFormat="1" applyFont="1" applyFill="1" applyBorder="1"/>
    <xf numFmtId="1" fontId="0" fillId="3" borderId="15" xfId="1" applyNumberFormat="1" applyFont="1" applyFill="1" applyBorder="1"/>
    <xf numFmtId="168" fontId="0" fillId="4" borderId="15" xfId="1" applyNumberFormat="1" applyFont="1" applyFill="1" applyBorder="1"/>
    <xf numFmtId="164" fontId="0" fillId="3" borderId="16" xfId="1" applyNumberFormat="1" applyFont="1" applyFill="1" applyBorder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0" fontId="0" fillId="3" borderId="11" xfId="1" applyNumberFormat="1" applyFont="1" applyFill="1" applyBorder="1"/>
    <xf numFmtId="1" fontId="0" fillId="3" borderId="11" xfId="1" applyNumberFormat="1" applyFont="1" applyFill="1" applyBorder="1"/>
    <xf numFmtId="168" fontId="0" fillId="4" borderId="11" xfId="1" applyNumberFormat="1" applyFont="1" applyFill="1" applyBorder="1"/>
    <xf numFmtId="0" fontId="8" fillId="2" borderId="10" xfId="0" applyFont="1" applyFill="1" applyBorder="1"/>
    <xf numFmtId="0" fontId="8" fillId="2" borderId="12" xfId="0" applyFont="1" applyFill="1" applyBorder="1"/>
    <xf numFmtId="0" fontId="8" fillId="2" borderId="8" xfId="0" applyFont="1" applyFill="1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0" fontId="0" fillId="0" borderId="0" xfId="0" applyBorder="1"/>
    <xf numFmtId="10" fontId="3" fillId="0" borderId="0" xfId="1" applyNumberFormat="1" applyFont="1" applyAlignment="1">
      <alignment horizontal="center" vertical="center"/>
    </xf>
    <xf numFmtId="0" fontId="7" fillId="2" borderId="17" xfId="0" applyFont="1" applyFill="1" applyBorder="1"/>
    <xf numFmtId="9" fontId="0" fillId="4" borderId="18" xfId="1" applyFont="1" applyFill="1" applyBorder="1" applyAlignment="1">
      <alignment horizontal="center" vertical="center"/>
    </xf>
    <xf numFmtId="0" fontId="7" fillId="2" borderId="19" xfId="0" applyFont="1" applyFill="1" applyBorder="1"/>
    <xf numFmtId="166" fontId="0" fillId="0" borderId="20" xfId="0" applyNumberFormat="1" applyFont="1" applyBorder="1" applyAlignment="1">
      <alignment horizontal="center" vertical="center"/>
    </xf>
    <xf numFmtId="166" fontId="0" fillId="4" borderId="20" xfId="0" applyNumberFormat="1" applyFont="1" applyFill="1" applyBorder="1" applyAlignment="1">
      <alignment horizontal="center" vertical="center"/>
    </xf>
    <xf numFmtId="0" fontId="7" fillId="2" borderId="21" xfId="0" applyFont="1" applyFill="1" applyBorder="1"/>
    <xf numFmtId="10" fontId="0" fillId="0" borderId="22" xfId="1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 vertical="center"/>
    </xf>
    <xf numFmtId="0" fontId="0" fillId="6" borderId="23" xfId="0" applyFont="1" applyFill="1" applyBorder="1"/>
    <xf numFmtId="0" fontId="0" fillId="5" borderId="24" xfId="0" applyFont="1" applyFill="1" applyBorder="1"/>
    <xf numFmtId="0" fontId="0" fillId="6" borderId="25" xfId="0" applyFont="1" applyFill="1" applyBorder="1"/>
    <xf numFmtId="0" fontId="0" fillId="0" borderId="26" xfId="0" applyFont="1" applyBorder="1"/>
    <xf numFmtId="164" fontId="0" fillId="5" borderId="26" xfId="0" applyNumberFormat="1" applyFont="1" applyFill="1" applyBorder="1"/>
    <xf numFmtId="164" fontId="0" fillId="0" borderId="26" xfId="0" applyNumberFormat="1" applyFont="1" applyBorder="1"/>
    <xf numFmtId="10" fontId="0" fillId="5" borderId="26" xfId="1" applyNumberFormat="1" applyFont="1" applyFill="1" applyBorder="1"/>
    <xf numFmtId="10" fontId="0" fillId="0" borderId="26" xfId="1" applyNumberFormat="1" applyFont="1" applyBorder="1"/>
    <xf numFmtId="0" fontId="0" fillId="5" borderId="26" xfId="0" applyFont="1" applyFill="1" applyBorder="1"/>
    <xf numFmtId="0" fontId="0" fillId="6" borderId="27" xfId="0" applyFont="1" applyFill="1" applyBorder="1"/>
    <xf numFmtId="164" fontId="0" fillId="0" borderId="28" xfId="0" applyNumberFormat="1" applyFont="1" applyBorder="1"/>
    <xf numFmtId="9" fontId="0" fillId="5" borderId="26" xfId="1" applyNumberFormat="1" applyFont="1" applyFill="1" applyBorder="1"/>
    <xf numFmtId="164" fontId="0" fillId="0" borderId="26" xfId="1" applyNumberFormat="1" applyFont="1" applyBorder="1"/>
    <xf numFmtId="166" fontId="0" fillId="5" borderId="26" xfId="0" applyNumberFormat="1" applyFont="1" applyFill="1" applyBorder="1"/>
    <xf numFmtId="168" fontId="0" fillId="0" borderId="26" xfId="1" applyNumberFormat="1" applyFont="1" applyBorder="1"/>
    <xf numFmtId="168" fontId="0" fillId="5" borderId="26" xfId="0" applyNumberFormat="1" applyFont="1" applyFill="1" applyBorder="1"/>
    <xf numFmtId="169" fontId="0" fillId="5" borderId="26" xfId="0" applyNumberFormat="1" applyFont="1" applyFill="1" applyBorder="1"/>
    <xf numFmtId="164" fontId="0" fillId="5" borderId="28" xfId="0" applyNumberFormat="1" applyFont="1" applyFill="1" applyBorder="1"/>
    <xf numFmtId="164" fontId="0" fillId="5" borderId="26" xfId="1" applyNumberFormat="1" applyFont="1" applyFill="1" applyBorder="1"/>
    <xf numFmtId="164" fontId="0" fillId="5" borderId="24" xfId="0" applyNumberFormat="1" applyFont="1" applyFill="1" applyBorder="1"/>
    <xf numFmtId="164" fontId="0" fillId="0" borderId="28" xfId="1" applyNumberFormat="1" applyFont="1" applyBorder="1"/>
    <xf numFmtId="3" fontId="0" fillId="5" borderId="24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0" fontId="0" fillId="0" borderId="0" xfId="1" applyNumberFormat="1" applyFont="1" applyBorder="1"/>
    <xf numFmtId="9" fontId="0" fillId="0" borderId="0" xfId="1" applyFont="1" applyBorder="1"/>
    <xf numFmtId="10" fontId="3" fillId="0" borderId="0" xfId="1" applyNumberFormat="1" applyFont="1" applyBorder="1"/>
    <xf numFmtId="0" fontId="3" fillId="0" borderId="0" xfId="0" applyFont="1" applyBorder="1"/>
    <xf numFmtId="167" fontId="0" fillId="0" borderId="0" xfId="0" applyNumberFormat="1" applyFont="1" applyBorder="1"/>
    <xf numFmtId="164" fontId="3" fillId="0" borderId="0" xfId="0" applyNumberFormat="1" applyFont="1" applyBorder="1"/>
  </cellXfs>
  <cellStyles count="2">
    <cellStyle name="Normal" xfId="0" builtinId="0"/>
    <cellStyle name="Per cent" xfId="1" builtinId="5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numFmt numFmtId="164" formatCode="&quot;£&quot;#,##0"/>
      <alignment horizontal="center" vertical="center" textRotation="0" wrapText="0" indent="0" justifyLastLine="0" shrinkToFit="0" readingOrder="0"/>
    </dxf>
    <dxf>
      <numFmt numFmtId="164" formatCode="&quot;£&quot;#,##0"/>
      <alignment horizontal="center" vertical="center" textRotation="0" wrapText="0" indent="0" justifyLastLine="0" shrinkToFit="0" readingOrder="0"/>
    </dxf>
    <dxf>
      <numFmt numFmtId="164" formatCode="&quot;£&quot;#,##0"/>
      <alignment horizontal="center" vertical="center" textRotation="0" wrapText="0" indent="0" justifyLastLine="0" shrinkToFit="0" readingOrder="0"/>
    </dxf>
    <dxf>
      <numFmt numFmtId="164" formatCode="&quot;£&quot;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numFmt numFmtId="164" formatCode="&quot;£&quot;#,##0"/>
      <alignment horizontal="center" vertical="center" textRotation="0" wrapText="0" indent="0" justifyLastLine="0" shrinkToFit="0" readingOrder="0"/>
    </dxf>
    <dxf>
      <numFmt numFmtId="164" formatCode="&quot;£&quot;#,##0"/>
      <alignment horizontal="center" vertical="center" textRotation="0" wrapText="0" indent="0" justifyLastLine="0" shrinkToFit="0" readingOrder="0"/>
    </dxf>
    <dxf>
      <numFmt numFmtId="164" formatCode="&quot;£&quot;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&quot;£&quot;#,##0"/>
      <alignment horizontal="center" vertical="center" textRotation="0" wrapText="0" indent="0" justifyLastLine="0" shrinkToFit="0" readingOrder="0"/>
    </dxf>
    <dxf>
      <numFmt numFmtId="168" formatCode="0.0000"/>
      <alignment horizontal="center" vertical="center" textRotation="0" wrapText="0" indent="0" justifyLastLine="0" shrinkToFit="0" readingOrder="0"/>
    </dxf>
    <dxf>
      <numFmt numFmtId="164" formatCode="&quot;£&quot;#,##0"/>
      <alignment horizontal="center" vertical="center" textRotation="0" wrapText="0" indent="0" justifyLastLine="0" shrinkToFit="0" readingOrder="0"/>
    </dxf>
    <dxf>
      <numFmt numFmtId="164" formatCode="&quot;£&quot;#,##0"/>
      <alignment horizontal="center" vertical="center" textRotation="0" wrapText="0" indent="0" justifyLastLine="0" shrinkToFit="0" readingOrder="0"/>
    </dxf>
    <dxf>
      <numFmt numFmtId="164" formatCode="&quot;£&quot;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FF270B-A86E-4100-9CC6-00788B6785D7}" name="Table1" displayName="Table1" ref="B12:H24" totalsRowShown="0" headerRowDxfId="35" dataDxfId="34" tableBorderDxfId="33">
  <tableColumns count="7">
    <tableColumn id="1" xr3:uid="{A63C8A46-72E1-4F9B-A488-41AD283FC442}" name="Year" dataDxfId="32"/>
    <tableColumn id="2" xr3:uid="{624A6E82-62B3-464B-8706-CB9A02538AB1}" name="Period" dataDxfId="31"/>
    <tableColumn id="3" xr3:uid="{E579A788-8998-4573-A871-6EA4FBE64A00}" name="Rent" dataDxfId="30">
      <calculatedColumnFormula>D12</calculatedColumnFormula>
    </tableColumn>
    <tableColumn id="4" xr3:uid="{C8EEEAAE-8CEA-4431-872B-D4EED17417AB}" name="Expenses" dataDxfId="29">
      <calculatedColumnFormula>-$C$6*(1+$C$7)^C13</calculatedColumnFormula>
    </tableColumn>
    <tableColumn id="5" xr3:uid="{0C603906-D49C-4D67-8729-960078E18B4D}" name="Net cash flow" dataDxfId="28">
      <calculatedColumnFormula>D13+E13</calculatedColumnFormula>
    </tableColumn>
    <tableColumn id="6" xr3:uid="{1A161E10-4619-4C36-9691-36EF1AD844EA}" name="PV £1*" dataDxfId="27">
      <calculatedColumnFormula>(1/(1+$C$10)^C13)</calculatedColumnFormula>
    </tableColumn>
    <tableColumn id="7" xr3:uid="{3A59EE27-EB05-4ED5-8541-81A9140F433A}" name="PV" dataDxfId="26">
      <calculatedColumnFormula>F13*G13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54B0160-40F7-477B-916A-ECB3CEEBD828}" name="Table2" displayName="Table2" ref="C3:J16" totalsRowShown="0" headerRowDxfId="25" dataDxfId="24" tableBorderDxfId="23">
  <tableColumns count="8">
    <tableColumn id="1" xr3:uid="{B97D62BC-83B4-44EB-BD52-3E0875C063C7}" name="Year" dataDxfId="22"/>
    <tableColumn id="2" xr3:uid="{521A3C62-B8FE-4692-8675-B5EFFDFE9EB2}" name=" " dataDxfId="21"/>
    <tableColumn id="3" xr3:uid="{6F2BF353-A8DC-4DC5-967B-017EA6B833FF}" name="Capital" dataDxfId="20"/>
    <tableColumn id="4" xr3:uid="{2BC34180-EF5D-4B58-B280-7C40D659251B}" name="Income" dataDxfId="19">
      <calculatedColumnFormula>F3</calculatedColumnFormula>
    </tableColumn>
    <tableColumn id="5" xr3:uid="{C4D70252-3D97-4AAC-BE89-8644FDD96F7E}" name="Costs" dataDxfId="18">
      <calculatedColumnFormula>'Table 10.13'!E12</calculatedColumnFormula>
    </tableColumn>
    <tableColumn id="6" xr3:uid="{45BD6F12-798E-48A0-9871-2400A20505C4}" name="Net cash flow" dataDxfId="17">
      <calculatedColumnFormula>E4+F4+G4</calculatedColumnFormula>
    </tableColumn>
    <tableColumn id="7" xr3:uid="{4442B4B8-1E2B-4ACC-9913-A26E17A8DBBD}" name="Yield" dataDxfId="16"/>
    <tableColumn id="8" xr3:uid="{AD3334A7-8248-47EB-8066-0A71567F10F4}" name="Yield (net)" dataDxfId="1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CF29552-E6CA-4148-87DC-A5B1F719C345}" name="Table3" displayName="Table3" ref="C26:K39" totalsRowShown="0" headerRowDxfId="14" dataDxfId="13" tableBorderDxfId="12">
  <tableColumns count="9">
    <tableColumn id="1" xr3:uid="{C608DA07-D6F9-424A-8908-B628318F63CB}" name="Year" dataDxfId="11"/>
    <tableColumn id="2" xr3:uid="{3FDE81AC-B83E-47F1-A36C-7F9A16F033AC}" name=" " dataDxfId="10"/>
    <tableColumn id="3" xr3:uid="{78FFCCDB-CA75-4760-94BC-E6B9C470DF67}" name="Capital" dataDxfId="9"/>
    <tableColumn id="4" xr3:uid="{D85625BD-839C-4A1E-8D4E-02C31DF016B6}" name="Income" dataDxfId="8">
      <calculatedColumnFormula>F26</calculatedColumnFormula>
    </tableColumn>
    <tableColumn id="5" xr3:uid="{C057C733-6A98-48A2-8D3E-3E905B0C5020}" name="Costs" dataDxfId="7">
      <calculatedColumnFormula>G4</calculatedColumnFormula>
    </tableColumn>
    <tableColumn id="6" xr3:uid="{3A3B6FB8-18BC-4EFF-939E-6B7FFD4020C4}" name="Interest" dataDxfId="6">
      <calculatedColumnFormula>H26</calculatedColumnFormula>
    </tableColumn>
    <tableColumn id="7" xr3:uid="{A479A19E-4AA4-44D1-8DCF-FACA23EF8513}" name="Net cash flow" dataDxfId="5">
      <calculatedColumnFormula>E27+F27+G27-H27</calculatedColumnFormula>
    </tableColumn>
    <tableColumn id="8" xr3:uid="{E93A5A76-BA5B-4BA3-A29E-D695D2C1A20E}" name="Yield" dataDxfId="4"/>
    <tableColumn id="9" xr3:uid="{9ED235C8-AB0D-4B61-9AED-6AFA0D7AFA77}" name="Yield (net)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90D192F-4C02-48AA-84CB-655F843752DA}" name="Table4" displayName="Table4" ref="B25:O35" totalsRowShown="0" headerRowDxfId="2" tableBorderDxfId="1">
  <tableColumns count="14">
    <tableColumn id="1" xr3:uid="{85A67B7A-E137-40DF-AC51-F83C9EDF5456}" name="  " dataDxfId="0"/>
    <tableColumn id="2" xr3:uid="{55A24A6B-9EE6-427C-8D10-7432BA0560A5}" name="2021"/>
    <tableColumn id="3" xr3:uid="{5CD34643-6932-4F5B-8639-AC1611196FA1}" name="2022"/>
    <tableColumn id="4" xr3:uid="{7C8F1232-E247-4D33-89A3-C5A0647FCDB8}" name="2023"/>
    <tableColumn id="5" xr3:uid="{13A89325-EA64-45CF-8F28-A502F964B0A3}" name="2024"/>
    <tableColumn id="6" xr3:uid="{B962D734-8B52-45BA-A8DF-DE346000DE08}" name="2025"/>
    <tableColumn id="7" xr3:uid="{3B70FBEE-60CA-40FF-A4BE-BE2F79C264AC}" name="2026"/>
    <tableColumn id="8" xr3:uid="{CE26705E-ACC1-4586-A2D2-67A59242DCD9}" name="2027"/>
    <tableColumn id="9" xr3:uid="{AE197C21-C247-4F73-97EA-0CAC0CEAFDDA}" name="2028"/>
    <tableColumn id="10" xr3:uid="{7427FCBE-6C93-400D-95DF-D12B8D80B929}" name="2029"/>
    <tableColumn id="11" xr3:uid="{D3D4DF01-9024-4010-B955-B23454A30A32}" name="2030"/>
    <tableColumn id="12" xr3:uid="{3690249F-F187-48D5-A230-A15595E34B0F}" name="2031"/>
    <tableColumn id="13" xr3:uid="{86E0FA8A-AFC5-4A94-B09F-696553EAC5BB}" name="2032"/>
    <tableColumn id="14" xr3:uid="{E73D514D-8592-4E1D-AB01-80CB41483648}" name="2033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A9A40-55D8-7848-88F0-94C1F2F9FB86}">
  <sheetPr>
    <tabColor theme="4" tint="0.59999389629810485"/>
  </sheetPr>
  <dimension ref="B2:C17"/>
  <sheetViews>
    <sheetView showGridLines="0" workbookViewId="0">
      <selection activeCell="C32" sqref="C32"/>
    </sheetView>
  </sheetViews>
  <sheetFormatPr baseColWidth="10" defaultColWidth="11" defaultRowHeight="16" x14ac:dyDescent="0.2"/>
  <cols>
    <col min="1" max="1" width="6.5" customWidth="1"/>
    <col min="2" max="2" width="18.6640625" customWidth="1"/>
    <col min="3" max="3" width="14.6640625" customWidth="1"/>
  </cols>
  <sheetData>
    <row r="2" spans="2:3" x14ac:dyDescent="0.2">
      <c r="B2" s="6" t="s">
        <v>61</v>
      </c>
    </row>
    <row r="3" spans="2:3" x14ac:dyDescent="0.2">
      <c r="B3" s="9"/>
    </row>
    <row r="4" spans="2:3" ht="17" thickBot="1" x14ac:dyDescent="0.25">
      <c r="B4" s="10" t="s">
        <v>30</v>
      </c>
      <c r="C4" s="1"/>
    </row>
    <row r="5" spans="2:3" x14ac:dyDescent="0.2">
      <c r="B5" s="17" t="s">
        <v>31</v>
      </c>
      <c r="C5" s="23">
        <v>250000</v>
      </c>
    </row>
    <row r="6" spans="2:3" x14ac:dyDescent="0.2">
      <c r="B6" s="18" t="s">
        <v>32</v>
      </c>
      <c r="C6" s="24">
        <v>35</v>
      </c>
    </row>
    <row r="7" spans="2:3" x14ac:dyDescent="0.2">
      <c r="B7" s="18" t="s">
        <v>33</v>
      </c>
      <c r="C7" s="25">
        <f>C5*C6</f>
        <v>8750000</v>
      </c>
    </row>
    <row r="8" spans="2:3" x14ac:dyDescent="0.2">
      <c r="B8" s="18" t="s">
        <v>34</v>
      </c>
      <c r="C8" s="20">
        <v>4.4999999999999998E-2</v>
      </c>
    </row>
    <row r="9" spans="2:3" x14ac:dyDescent="0.2">
      <c r="B9" s="18" t="s">
        <v>35</v>
      </c>
      <c r="C9" s="25">
        <f>C7/C8</f>
        <v>194444444.44444445</v>
      </c>
    </row>
    <row r="10" spans="2:3" x14ac:dyDescent="0.2">
      <c r="B10" s="18" t="s">
        <v>36</v>
      </c>
      <c r="C10" s="24">
        <v>300</v>
      </c>
    </row>
    <row r="11" spans="2:3" x14ac:dyDescent="0.2">
      <c r="B11" s="18" t="s">
        <v>37</v>
      </c>
      <c r="C11" s="25">
        <v>2000000</v>
      </c>
    </row>
    <row r="12" spans="2:3" x14ac:dyDescent="0.2">
      <c r="B12" s="18" t="s">
        <v>38</v>
      </c>
      <c r="C12" s="24">
        <f>C5*C10</f>
        <v>75000000</v>
      </c>
    </row>
    <row r="13" spans="2:3" x14ac:dyDescent="0.2">
      <c r="B13" s="18" t="s">
        <v>39</v>
      </c>
      <c r="C13" s="25">
        <f>C12*0.15</f>
        <v>11250000</v>
      </c>
    </row>
    <row r="14" spans="2:3" x14ac:dyDescent="0.2">
      <c r="B14" s="18" t="s">
        <v>50</v>
      </c>
      <c r="C14" s="24">
        <f>C12+C13+C11</f>
        <v>88250000</v>
      </c>
    </row>
    <row r="15" spans="2:3" x14ac:dyDescent="0.2">
      <c r="B15" s="18" t="s">
        <v>40</v>
      </c>
      <c r="C15" s="25">
        <f>(C12+C11+C13)*0.15</f>
        <v>13237500</v>
      </c>
    </row>
    <row r="16" spans="2:3" x14ac:dyDescent="0.2">
      <c r="B16" s="18" t="s">
        <v>51</v>
      </c>
      <c r="C16" s="24">
        <f>C14+C15</f>
        <v>101487500</v>
      </c>
    </row>
    <row r="17" spans="2:3" ht="17" thickBot="1" x14ac:dyDescent="0.25">
      <c r="B17" s="19" t="s">
        <v>41</v>
      </c>
      <c r="C17" s="30">
        <f>C9-C16</f>
        <v>92956944.444444448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B7987-0C2B-8445-B287-5D271DF98E9D}">
  <sheetPr>
    <tabColor theme="4" tint="0.59999389629810485"/>
  </sheetPr>
  <dimension ref="B2:C11"/>
  <sheetViews>
    <sheetView showGridLines="0" workbookViewId="0">
      <selection activeCell="D29" sqref="D29"/>
    </sheetView>
  </sheetViews>
  <sheetFormatPr baseColWidth="10" defaultColWidth="11" defaultRowHeight="16" x14ac:dyDescent="0.2"/>
  <cols>
    <col min="1" max="1" width="6.33203125" customWidth="1"/>
    <col min="2" max="2" width="26.1640625" customWidth="1"/>
    <col min="3" max="3" width="18.6640625" customWidth="1"/>
  </cols>
  <sheetData>
    <row r="2" spans="2:3" ht="15" customHeight="1" x14ac:dyDescent="0.2">
      <c r="B2" s="6" t="s">
        <v>62</v>
      </c>
    </row>
    <row r="3" spans="2:3" ht="17" thickBot="1" x14ac:dyDescent="0.25"/>
    <row r="4" spans="2:3" x14ac:dyDescent="0.2">
      <c r="B4" s="17" t="s">
        <v>7</v>
      </c>
      <c r="C4" s="23">
        <v>220402</v>
      </c>
    </row>
    <row r="5" spans="2:3" x14ac:dyDescent="0.2">
      <c r="B5" s="18" t="s">
        <v>44</v>
      </c>
      <c r="C5" s="24">
        <v>17.5</v>
      </c>
    </row>
    <row r="6" spans="2:3" x14ac:dyDescent="0.2">
      <c r="B6" s="18" t="s">
        <v>44</v>
      </c>
      <c r="C6" s="25">
        <f>C4*C5</f>
        <v>3857035</v>
      </c>
    </row>
    <row r="7" spans="2:3" x14ac:dyDescent="0.2">
      <c r="B7" s="18" t="s">
        <v>4</v>
      </c>
      <c r="C7" s="20">
        <v>0.06</v>
      </c>
    </row>
    <row r="8" spans="2:3" x14ac:dyDescent="0.2">
      <c r="B8" s="18" t="s">
        <v>28</v>
      </c>
      <c r="C8" s="25">
        <f>C6/C7</f>
        <v>64283916.666666672</v>
      </c>
    </row>
    <row r="9" spans="2:3" x14ac:dyDescent="0.2">
      <c r="B9" s="18" t="s">
        <v>46</v>
      </c>
      <c r="C9" s="24">
        <v>30</v>
      </c>
    </row>
    <row r="10" spans="2:3" x14ac:dyDescent="0.2">
      <c r="B10" s="18" t="s">
        <v>47</v>
      </c>
      <c r="C10" s="25">
        <f>C4*C9</f>
        <v>6612060</v>
      </c>
    </row>
    <row r="11" spans="2:3" ht="17" thickBot="1" x14ac:dyDescent="0.25">
      <c r="B11" s="19" t="s">
        <v>48</v>
      </c>
      <c r="C11" s="26">
        <f>C8-C10</f>
        <v>57671856.666666672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DB26A-3B16-C546-8F0A-9E2CD66A96C5}">
  <sheetPr>
    <tabColor theme="4" tint="0.59999389629810485"/>
  </sheetPr>
  <dimension ref="B2:E10"/>
  <sheetViews>
    <sheetView showGridLines="0" workbookViewId="0">
      <selection activeCell="D33" sqref="D33"/>
    </sheetView>
  </sheetViews>
  <sheetFormatPr baseColWidth="10" defaultColWidth="11" defaultRowHeight="16" x14ac:dyDescent="0.2"/>
  <cols>
    <col min="1" max="1" width="6.6640625" customWidth="1"/>
    <col min="2" max="2" width="20.1640625" customWidth="1"/>
    <col min="3" max="3" width="14.6640625" customWidth="1"/>
    <col min="4" max="4" width="14.1640625" customWidth="1"/>
    <col min="5" max="5" width="14.33203125" customWidth="1"/>
  </cols>
  <sheetData>
    <row r="2" spans="2:5" ht="15" customHeight="1" x14ac:dyDescent="0.2">
      <c r="B2" s="6" t="s">
        <v>63</v>
      </c>
    </row>
    <row r="3" spans="2:5" ht="17" thickBot="1" x14ac:dyDescent="0.25"/>
    <row r="4" spans="2:5" x14ac:dyDescent="0.2">
      <c r="B4" s="17" t="s">
        <v>3</v>
      </c>
      <c r="C4" s="33">
        <f>'Table 10.10'!$C$17</f>
        <v>92956944.444444448</v>
      </c>
      <c r="D4" s="33">
        <f>C4</f>
        <v>92956944.444444448</v>
      </c>
      <c r="E4" s="23">
        <f>C4</f>
        <v>92956944.444444448</v>
      </c>
    </row>
    <row r="5" spans="2:5" x14ac:dyDescent="0.2">
      <c r="B5" s="18" t="s">
        <v>42</v>
      </c>
      <c r="C5" s="34">
        <v>8.5000000000000006E-3</v>
      </c>
      <c r="D5" s="34">
        <v>8.5000000000000006E-3</v>
      </c>
      <c r="E5" s="20">
        <v>8.5000000000000006E-3</v>
      </c>
    </row>
    <row r="6" spans="2:5" x14ac:dyDescent="0.2">
      <c r="B6" s="18" t="s">
        <v>26</v>
      </c>
      <c r="C6" s="35">
        <v>0.1</v>
      </c>
      <c r="D6" s="35">
        <v>0.125</v>
      </c>
      <c r="E6" s="21">
        <v>0.15</v>
      </c>
    </row>
    <row r="7" spans="2:5" x14ac:dyDescent="0.2">
      <c r="B7" s="18" t="s">
        <v>6</v>
      </c>
      <c r="C7" s="34">
        <f>C5+C6</f>
        <v>0.10850000000000001</v>
      </c>
      <c r="D7" s="34">
        <f>D5+D6</f>
        <v>0.13350000000000001</v>
      </c>
      <c r="E7" s="20">
        <f>E5+E6</f>
        <v>0.1585</v>
      </c>
    </row>
    <row r="8" spans="2:5" x14ac:dyDescent="0.2">
      <c r="B8" s="18" t="s">
        <v>52</v>
      </c>
      <c r="C8" s="36">
        <v>12</v>
      </c>
      <c r="D8" s="36">
        <v>12</v>
      </c>
      <c r="E8" s="31">
        <v>12</v>
      </c>
    </row>
    <row r="9" spans="2:5" x14ac:dyDescent="0.2">
      <c r="B9" s="18" t="s">
        <v>0</v>
      </c>
      <c r="C9" s="37">
        <f>1/(1+C7)^C8</f>
        <v>0.290517053373259</v>
      </c>
      <c r="D9" s="37">
        <f>1/(1+D7)^D8</f>
        <v>0.22230114849960594</v>
      </c>
      <c r="E9" s="32">
        <f>1/(1+E7)^E8</f>
        <v>0.17109902805217961</v>
      </c>
    </row>
    <row r="10" spans="2:5" ht="17" thickBot="1" x14ac:dyDescent="0.25">
      <c r="B10" s="19" t="s">
        <v>3</v>
      </c>
      <c r="C10" s="38">
        <f>C4*C9</f>
        <v>27005577.590581741</v>
      </c>
      <c r="D10" s="38">
        <f>D4*D9</f>
        <v>20664435.511014067</v>
      </c>
      <c r="E10" s="30">
        <f>E4*E9</f>
        <v>15904842.845144901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8DDD1-84B3-4F40-BFE7-6E5F241783FF}">
  <sheetPr>
    <tabColor theme="4" tint="0.59999389629810485"/>
  </sheetPr>
  <dimension ref="B2:H25"/>
  <sheetViews>
    <sheetView showGridLines="0" workbookViewId="0">
      <selection activeCell="K15" sqref="K15"/>
    </sheetView>
  </sheetViews>
  <sheetFormatPr baseColWidth="10" defaultColWidth="11" defaultRowHeight="16" x14ac:dyDescent="0.2"/>
  <cols>
    <col min="1" max="1" width="7.1640625" customWidth="1"/>
    <col min="2" max="2" width="12" customWidth="1"/>
    <col min="6" max="6" width="14.33203125" customWidth="1"/>
    <col min="7" max="7" width="11.6640625" bestFit="1" customWidth="1"/>
    <col min="8" max="8" width="11.83203125" bestFit="1" customWidth="1"/>
  </cols>
  <sheetData>
    <row r="2" spans="2:8" x14ac:dyDescent="0.2">
      <c r="B2" s="6" t="s">
        <v>64</v>
      </c>
    </row>
    <row r="4" spans="2:8" ht="17" thickBot="1" x14ac:dyDescent="0.25">
      <c r="B4" s="6" t="s">
        <v>58</v>
      </c>
    </row>
    <row r="5" spans="2:8" x14ac:dyDescent="0.2">
      <c r="B5" s="17" t="s">
        <v>8</v>
      </c>
      <c r="C5" s="23">
        <f>2375000</f>
        <v>2375000</v>
      </c>
    </row>
    <row r="6" spans="2:8" x14ac:dyDescent="0.2">
      <c r="B6" s="18" t="s">
        <v>57</v>
      </c>
      <c r="C6" s="24">
        <v>100000</v>
      </c>
    </row>
    <row r="7" spans="2:8" x14ac:dyDescent="0.2">
      <c r="B7" s="18" t="s">
        <v>56</v>
      </c>
      <c r="C7" s="21">
        <v>0.02</v>
      </c>
    </row>
    <row r="8" spans="2:8" x14ac:dyDescent="0.2">
      <c r="B8" s="18" t="s">
        <v>17</v>
      </c>
      <c r="C8" s="20">
        <v>8.5000000000000006E-3</v>
      </c>
    </row>
    <row r="9" spans="2:8" x14ac:dyDescent="0.2">
      <c r="B9" s="18" t="s">
        <v>26</v>
      </c>
      <c r="C9" s="21">
        <v>2.5000000000000001E-2</v>
      </c>
    </row>
    <row r="10" spans="2:8" ht="17" thickBot="1" x14ac:dyDescent="0.25">
      <c r="B10" s="19" t="s">
        <v>6</v>
      </c>
      <c r="C10" s="22">
        <f>C8+C9</f>
        <v>3.3500000000000002E-2</v>
      </c>
    </row>
    <row r="12" spans="2:8" x14ac:dyDescent="0.2">
      <c r="B12" s="47" t="s">
        <v>19</v>
      </c>
      <c r="C12" s="47" t="s">
        <v>52</v>
      </c>
      <c r="D12" s="47" t="s">
        <v>8</v>
      </c>
      <c r="E12" s="47" t="s">
        <v>53</v>
      </c>
      <c r="F12" s="47" t="s">
        <v>54</v>
      </c>
      <c r="G12" s="47" t="s">
        <v>55</v>
      </c>
      <c r="H12" s="47" t="s">
        <v>0</v>
      </c>
    </row>
    <row r="13" spans="2:8" x14ac:dyDescent="0.2">
      <c r="B13" s="47">
        <v>2022</v>
      </c>
      <c r="C13" s="47">
        <v>1</v>
      </c>
      <c r="D13" s="48">
        <f>C5</f>
        <v>2375000</v>
      </c>
      <c r="E13" s="48">
        <f>-$C$6*(1+$C$7)^C13</f>
        <v>-102000</v>
      </c>
      <c r="F13" s="48">
        <f>D13+E13</f>
        <v>2273000</v>
      </c>
      <c r="G13" s="60">
        <f>(1/(1+$C$10)^C13)</f>
        <v>0.96758587324625056</v>
      </c>
      <c r="H13" s="48">
        <f>F13*G13</f>
        <v>2199322.6898887274</v>
      </c>
    </row>
    <row r="14" spans="2:8" x14ac:dyDescent="0.2">
      <c r="B14" s="47">
        <v>2023</v>
      </c>
      <c r="C14" s="47">
        <v>2</v>
      </c>
      <c r="D14" s="48">
        <f>D13</f>
        <v>2375000</v>
      </c>
      <c r="E14" s="48">
        <f t="shared" ref="E14:E24" si="0">-$C$6*(1+$C$7)^C14</f>
        <v>-104040</v>
      </c>
      <c r="F14" s="48">
        <f t="shared" ref="F14:F24" si="1">D14+E14</f>
        <v>2270960</v>
      </c>
      <c r="G14" s="60">
        <f t="shared" ref="G14:G24" si="2">(1/(1+$C$10)^C14)</f>
        <v>0.93622242210570905</v>
      </c>
      <c r="H14" s="48">
        <f t="shared" ref="H14:H24" si="3">F14*G14</f>
        <v>2126123.6717051812</v>
      </c>
    </row>
    <row r="15" spans="2:8" x14ac:dyDescent="0.2">
      <c r="B15" s="47">
        <v>2024</v>
      </c>
      <c r="C15" s="47">
        <v>3</v>
      </c>
      <c r="D15" s="48">
        <f t="shared" ref="D15:D24" si="4">D14</f>
        <v>2375000</v>
      </c>
      <c r="E15" s="48">
        <f t="shared" si="0"/>
        <v>-106120.79999999999</v>
      </c>
      <c r="F15" s="48">
        <f t="shared" si="1"/>
        <v>2268879.2000000002</v>
      </c>
      <c r="G15" s="60">
        <f t="shared" si="2"/>
        <v>0.90587558984587235</v>
      </c>
      <c r="H15" s="48">
        <f t="shared" si="3"/>
        <v>2055322.2835890311</v>
      </c>
    </row>
    <row r="16" spans="2:8" x14ac:dyDescent="0.2">
      <c r="B16" s="47">
        <v>2025</v>
      </c>
      <c r="C16" s="47">
        <v>4</v>
      </c>
      <c r="D16" s="48">
        <f t="shared" si="4"/>
        <v>2375000</v>
      </c>
      <c r="E16" s="48">
        <f t="shared" si="0"/>
        <v>-108243.216</v>
      </c>
      <c r="F16" s="48">
        <f t="shared" si="1"/>
        <v>2266756.784</v>
      </c>
      <c r="G16" s="60">
        <f t="shared" si="2"/>
        <v>0.87651242365348059</v>
      </c>
      <c r="H16" s="48">
        <f t="shared" si="3"/>
        <v>1986840.4825768091</v>
      </c>
    </row>
    <row r="17" spans="2:8" x14ac:dyDescent="0.2">
      <c r="B17" s="47">
        <v>2026</v>
      </c>
      <c r="C17" s="47">
        <v>5</v>
      </c>
      <c r="D17" s="48">
        <f t="shared" si="4"/>
        <v>2375000</v>
      </c>
      <c r="E17" s="48">
        <f t="shared" si="0"/>
        <v>-110408.08032000001</v>
      </c>
      <c r="F17" s="48">
        <f t="shared" si="1"/>
        <v>2264591.9196799998</v>
      </c>
      <c r="G17" s="60">
        <f t="shared" si="2"/>
        <v>0.84810103885194044</v>
      </c>
      <c r="H17" s="48">
        <f t="shared" si="3"/>
        <v>1920602.759656318</v>
      </c>
    </row>
    <row r="18" spans="2:8" x14ac:dyDescent="0.2">
      <c r="B18" s="47">
        <v>2027</v>
      </c>
      <c r="C18" s="47">
        <v>6</v>
      </c>
      <c r="D18" s="48">
        <f t="shared" si="4"/>
        <v>2375000</v>
      </c>
      <c r="E18" s="48">
        <f t="shared" si="0"/>
        <v>-112616.24192640001</v>
      </c>
      <c r="F18" s="48">
        <f t="shared" si="1"/>
        <v>2262383.7580736</v>
      </c>
      <c r="G18" s="60">
        <f t="shared" si="2"/>
        <v>0.82061058427860689</v>
      </c>
      <c r="H18" s="48">
        <f t="shared" si="3"/>
        <v>1856536.0575752074</v>
      </c>
    </row>
    <row r="19" spans="2:8" x14ac:dyDescent="0.2">
      <c r="B19" s="47">
        <v>2028</v>
      </c>
      <c r="C19" s="47">
        <v>7</v>
      </c>
      <c r="D19" s="48">
        <f t="shared" si="4"/>
        <v>2375000</v>
      </c>
      <c r="E19" s="48">
        <f t="shared" si="0"/>
        <v>-114868.56676492798</v>
      </c>
      <c r="F19" s="48">
        <f t="shared" si="1"/>
        <v>2260131.4332350721</v>
      </c>
      <c r="G19" s="60">
        <f t="shared" si="2"/>
        <v>0.79401120878433173</v>
      </c>
      <c r="H19" s="48">
        <f t="shared" si="3"/>
        <v>1794569.6913144437</v>
      </c>
    </row>
    <row r="20" spans="2:8" x14ac:dyDescent="0.2">
      <c r="B20" s="47">
        <v>2029</v>
      </c>
      <c r="C20" s="47">
        <v>8</v>
      </c>
      <c r="D20" s="48">
        <f t="shared" si="4"/>
        <v>2375000</v>
      </c>
      <c r="E20" s="48">
        <f t="shared" si="0"/>
        <v>-117165.93810022656</v>
      </c>
      <c r="F20" s="48">
        <f t="shared" si="1"/>
        <v>2257834.0618997733</v>
      </c>
      <c r="G20" s="60">
        <f t="shared" si="2"/>
        <v>0.7682740288188985</v>
      </c>
      <c r="H20" s="48">
        <f t="shared" si="3"/>
        <v>1734635.2711402772</v>
      </c>
    </row>
    <row r="21" spans="2:8" x14ac:dyDescent="0.2">
      <c r="B21" s="47">
        <v>2030</v>
      </c>
      <c r="C21" s="47">
        <v>9</v>
      </c>
      <c r="D21" s="48">
        <f t="shared" si="4"/>
        <v>2375000</v>
      </c>
      <c r="E21" s="48">
        <f t="shared" si="0"/>
        <v>-119509.25686223108</v>
      </c>
      <c r="F21" s="48">
        <f t="shared" si="1"/>
        <v>2255490.7431377689</v>
      </c>
      <c r="G21" s="60">
        <f t="shared" si="2"/>
        <v>0.74337109706714899</v>
      </c>
      <c r="H21" s="48">
        <f t="shared" si="3"/>
        <v>1676666.6281511225</v>
      </c>
    </row>
    <row r="22" spans="2:8" x14ac:dyDescent="0.2">
      <c r="B22" s="47">
        <v>2031</v>
      </c>
      <c r="C22" s="47">
        <v>10</v>
      </c>
      <c r="D22" s="48">
        <f t="shared" si="4"/>
        <v>2375000</v>
      </c>
      <c r="E22" s="48">
        <f t="shared" si="0"/>
        <v>-121899.4419994757</v>
      </c>
      <c r="F22" s="48">
        <f t="shared" si="1"/>
        <v>2253100.5580005245</v>
      </c>
      <c r="G22" s="60">
        <f t="shared" si="2"/>
        <v>0.71927537210174053</v>
      </c>
      <c r="H22" s="48">
        <f t="shared" si="3"/>
        <v>1620599.7422384664</v>
      </c>
    </row>
    <row r="23" spans="2:8" x14ac:dyDescent="0.2">
      <c r="B23" s="47">
        <v>2032</v>
      </c>
      <c r="C23" s="47">
        <v>11</v>
      </c>
      <c r="D23" s="48">
        <f t="shared" si="4"/>
        <v>2375000</v>
      </c>
      <c r="E23" s="48">
        <f t="shared" si="0"/>
        <v>-124337.4308394652</v>
      </c>
      <c r="F23" s="48">
        <f t="shared" si="1"/>
        <v>2250662.569160535</v>
      </c>
      <c r="G23" s="60">
        <f t="shared" si="2"/>
        <v>0.69596068901958441</v>
      </c>
      <c r="H23" s="48">
        <f t="shared" si="3"/>
        <v>1566372.672383554</v>
      </c>
    </row>
    <row r="24" spans="2:8" x14ac:dyDescent="0.2">
      <c r="B24" s="47">
        <v>2033</v>
      </c>
      <c r="C24" s="47">
        <v>12</v>
      </c>
      <c r="D24" s="48">
        <f t="shared" si="4"/>
        <v>2375000</v>
      </c>
      <c r="E24" s="48">
        <f t="shared" si="0"/>
        <v>-126824.17945625453</v>
      </c>
      <c r="F24" s="48">
        <f t="shared" si="1"/>
        <v>2248175.8205437455</v>
      </c>
      <c r="G24" s="60">
        <f t="shared" si="2"/>
        <v>0.67340173103007672</v>
      </c>
      <c r="H24" s="48">
        <f t="shared" si="3"/>
        <v>1513925.4892141214</v>
      </c>
    </row>
    <row r="25" spans="2:8" x14ac:dyDescent="0.2">
      <c r="B25" s="39" t="s">
        <v>49</v>
      </c>
      <c r="C25" s="39"/>
      <c r="D25" s="39"/>
      <c r="E25" s="39"/>
      <c r="F25" s="39"/>
      <c r="G25" s="39"/>
      <c r="H25" s="40">
        <f>SUM(H13:H24)</f>
        <v>22051517.439433258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117A1-DBF0-5644-A3E5-65C178323752}">
  <sheetPr>
    <tabColor theme="4" tint="0.59999389629810485"/>
  </sheetPr>
  <dimension ref="B2:F10"/>
  <sheetViews>
    <sheetView showGridLines="0" tabSelected="1" workbookViewId="0">
      <selection activeCell="F6" sqref="F6"/>
    </sheetView>
  </sheetViews>
  <sheetFormatPr baseColWidth="10" defaultColWidth="11" defaultRowHeight="16" x14ac:dyDescent="0.2"/>
  <cols>
    <col min="1" max="1" width="6.1640625" customWidth="1"/>
    <col min="2" max="2" width="14.33203125" customWidth="1"/>
    <col min="3" max="3" width="14.6640625" customWidth="1"/>
    <col min="4" max="4" width="11.6640625" bestFit="1" customWidth="1"/>
  </cols>
  <sheetData>
    <row r="2" spans="2:6" x14ac:dyDescent="0.2">
      <c r="B2" s="6" t="s">
        <v>65</v>
      </c>
    </row>
    <row r="3" spans="2:6" ht="17" thickBot="1" x14ac:dyDescent="0.25">
      <c r="B3" s="6"/>
    </row>
    <row r="4" spans="2:6" x14ac:dyDescent="0.2">
      <c r="B4" s="46" t="s">
        <v>24</v>
      </c>
      <c r="C4" s="27">
        <v>2250000</v>
      </c>
      <c r="F4" s="2"/>
    </row>
    <row r="5" spans="2:6" x14ac:dyDescent="0.2">
      <c r="B5" s="44" t="s">
        <v>25</v>
      </c>
      <c r="C5" s="28">
        <v>8.5000000000000006E-3</v>
      </c>
      <c r="F5" s="4"/>
    </row>
    <row r="6" spans="2:6" x14ac:dyDescent="0.2">
      <c r="B6" s="44" t="s">
        <v>26</v>
      </c>
      <c r="C6" s="41">
        <v>6.4999999999999997E-3</v>
      </c>
      <c r="F6" s="4"/>
    </row>
    <row r="7" spans="2:6" x14ac:dyDescent="0.2">
      <c r="B7" s="44" t="s">
        <v>6</v>
      </c>
      <c r="C7" s="28">
        <f>C5+C6</f>
        <v>1.4999999999999999E-2</v>
      </c>
      <c r="F7" s="4"/>
    </row>
    <row r="8" spans="2:6" x14ac:dyDescent="0.2">
      <c r="B8" s="44" t="s">
        <v>59</v>
      </c>
      <c r="C8" s="42">
        <v>12</v>
      </c>
    </row>
    <row r="9" spans="2:6" x14ac:dyDescent="0.2">
      <c r="B9" s="44" t="s">
        <v>27</v>
      </c>
      <c r="C9" s="43">
        <f>(1-(1/(1+C7)^C8))/C7</f>
        <v>10.907505206973561</v>
      </c>
      <c r="F9" s="7"/>
    </row>
    <row r="10" spans="2:6" ht="17" thickBot="1" x14ac:dyDescent="0.25">
      <c r="B10" s="45" t="s">
        <v>28</v>
      </c>
      <c r="C10" s="29">
        <v>24541875</v>
      </c>
      <c r="F10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E6435-9C33-AE4A-83AB-F26BD8279019}">
  <sheetPr>
    <tabColor theme="4" tint="0.59999389629810485"/>
  </sheetPr>
  <dimension ref="B2:M40"/>
  <sheetViews>
    <sheetView showGridLines="0" workbookViewId="0">
      <selection activeCell="O12" sqref="O12"/>
    </sheetView>
  </sheetViews>
  <sheetFormatPr baseColWidth="10" defaultColWidth="11" defaultRowHeight="16" x14ac:dyDescent="0.2"/>
  <cols>
    <col min="1" max="1" width="6.33203125" customWidth="1"/>
    <col min="3" max="3" width="14.83203125" bestFit="1" customWidth="1"/>
    <col min="5" max="5" width="12.5" customWidth="1"/>
    <col min="8" max="9" width="14.33203125" customWidth="1"/>
    <col min="10" max="11" width="11.5" customWidth="1"/>
    <col min="13" max="13" width="16.1640625" bestFit="1" customWidth="1"/>
  </cols>
  <sheetData>
    <row r="2" spans="2:13" x14ac:dyDescent="0.2">
      <c r="B2" s="6" t="s">
        <v>66</v>
      </c>
    </row>
    <row r="3" spans="2:13" ht="17" thickBot="1" x14ac:dyDescent="0.25">
      <c r="C3" s="47" t="s">
        <v>19</v>
      </c>
      <c r="D3" s="47" t="s">
        <v>77</v>
      </c>
      <c r="E3" s="47" t="s">
        <v>20</v>
      </c>
      <c r="F3" s="47" t="s">
        <v>71</v>
      </c>
      <c r="G3" s="47" t="s">
        <v>57</v>
      </c>
      <c r="H3" s="47" t="s">
        <v>54</v>
      </c>
      <c r="I3" s="47" t="s">
        <v>2</v>
      </c>
      <c r="J3" s="47" t="s">
        <v>60</v>
      </c>
    </row>
    <row r="4" spans="2:13" ht="17" thickBot="1" x14ac:dyDescent="0.25">
      <c r="C4" s="47">
        <v>2021</v>
      </c>
      <c r="D4" s="47">
        <v>0</v>
      </c>
      <c r="E4" s="48">
        <v>-42500000</v>
      </c>
      <c r="F4" s="48"/>
      <c r="G4" s="48">
        <v>-3000000</v>
      </c>
      <c r="H4" s="48">
        <f>E4+F4+G4</f>
        <v>-45500000</v>
      </c>
      <c r="I4" s="47"/>
      <c r="J4" s="47"/>
      <c r="M4" s="59">
        <f>E4*0.0705</f>
        <v>-2996249.9999999995</v>
      </c>
    </row>
    <row r="5" spans="2:13" x14ac:dyDescent="0.2">
      <c r="C5" s="47">
        <v>2022</v>
      </c>
      <c r="D5" s="47">
        <v>1</v>
      </c>
      <c r="E5" s="47"/>
      <c r="F5" s="48">
        <v>2375000</v>
      </c>
      <c r="G5" s="48">
        <f>'Table 10.13'!E13</f>
        <v>-102000</v>
      </c>
      <c r="H5" s="48">
        <f t="shared" ref="H5:H16" si="0">E5+F5+G5</f>
        <v>2273000</v>
      </c>
      <c r="I5" s="49">
        <f>-H5/$E$4</f>
        <v>5.3482352941176474E-2</v>
      </c>
      <c r="J5" s="49">
        <f>H5/-$H$4</f>
        <v>4.9956043956043958E-2</v>
      </c>
    </row>
    <row r="6" spans="2:13" x14ac:dyDescent="0.2">
      <c r="C6" s="47">
        <v>2023</v>
      </c>
      <c r="D6" s="47">
        <v>2</v>
      </c>
      <c r="E6" s="47"/>
      <c r="F6" s="48">
        <f>F5</f>
        <v>2375000</v>
      </c>
      <c r="G6" s="48">
        <f>'Table 10.13'!E14</f>
        <v>-104040</v>
      </c>
      <c r="H6" s="48">
        <f t="shared" si="0"/>
        <v>2270960</v>
      </c>
      <c r="I6" s="49">
        <f t="shared" ref="I6:I15" si="1">-H6/$E$4</f>
        <v>5.3434352941176468E-2</v>
      </c>
      <c r="J6" s="49">
        <f t="shared" ref="J6:J15" si="2">H6/-$H$4</f>
        <v>4.9911208791208792E-2</v>
      </c>
    </row>
    <row r="7" spans="2:13" x14ac:dyDescent="0.2">
      <c r="C7" s="47">
        <v>2024</v>
      </c>
      <c r="D7" s="47">
        <v>3</v>
      </c>
      <c r="E7" s="47"/>
      <c r="F7" s="48">
        <f t="shared" ref="F7:F16" si="3">F6</f>
        <v>2375000</v>
      </c>
      <c r="G7" s="48">
        <f>'Table 10.13'!E15</f>
        <v>-106120.79999999999</v>
      </c>
      <c r="H7" s="48">
        <f t="shared" si="0"/>
        <v>2268879.2000000002</v>
      </c>
      <c r="I7" s="49">
        <f t="shared" si="1"/>
        <v>5.3385392941176474E-2</v>
      </c>
      <c r="J7" s="49">
        <f t="shared" si="2"/>
        <v>4.9865476923076926E-2</v>
      </c>
    </row>
    <row r="8" spans="2:13" x14ac:dyDescent="0.2">
      <c r="C8" s="47">
        <v>2025</v>
      </c>
      <c r="D8" s="47">
        <v>4</v>
      </c>
      <c r="E8" s="47"/>
      <c r="F8" s="48">
        <f t="shared" si="3"/>
        <v>2375000</v>
      </c>
      <c r="G8" s="48">
        <f>'Table 10.13'!E16</f>
        <v>-108243.216</v>
      </c>
      <c r="H8" s="48">
        <f t="shared" si="0"/>
        <v>2266756.784</v>
      </c>
      <c r="I8" s="49">
        <f t="shared" si="1"/>
        <v>5.3335453741176472E-2</v>
      </c>
      <c r="J8" s="49">
        <f t="shared" si="2"/>
        <v>4.9818830417582415E-2</v>
      </c>
    </row>
    <row r="9" spans="2:13" x14ac:dyDescent="0.2">
      <c r="C9" s="47">
        <v>2026</v>
      </c>
      <c r="D9" s="47">
        <v>5</v>
      </c>
      <c r="E9" s="47"/>
      <c r="F9" s="48">
        <f t="shared" si="3"/>
        <v>2375000</v>
      </c>
      <c r="G9" s="48">
        <f>'Table 10.13'!E17</f>
        <v>-110408.08032000001</v>
      </c>
      <c r="H9" s="48">
        <f t="shared" si="0"/>
        <v>2264591.9196799998</v>
      </c>
      <c r="I9" s="49">
        <f t="shared" si="1"/>
        <v>5.3284515757176465E-2</v>
      </c>
      <c r="J9" s="49">
        <f t="shared" si="2"/>
        <v>4.9771250981978016E-2</v>
      </c>
    </row>
    <row r="10" spans="2:13" x14ac:dyDescent="0.2">
      <c r="C10" s="47">
        <v>2027</v>
      </c>
      <c r="D10" s="47">
        <v>6</v>
      </c>
      <c r="E10" s="47"/>
      <c r="F10" s="48">
        <f t="shared" si="3"/>
        <v>2375000</v>
      </c>
      <c r="G10" s="48">
        <f>'Table 10.13'!E18</f>
        <v>-112616.24192640001</v>
      </c>
      <c r="H10" s="48">
        <f t="shared" si="0"/>
        <v>2262383.7580736</v>
      </c>
      <c r="I10" s="49">
        <f t="shared" si="1"/>
        <v>5.3232559013496474E-2</v>
      </c>
      <c r="J10" s="49">
        <f t="shared" si="2"/>
        <v>4.9722719957661539E-2</v>
      </c>
    </row>
    <row r="11" spans="2:13" x14ac:dyDescent="0.2">
      <c r="C11" s="47">
        <v>2028</v>
      </c>
      <c r="D11" s="47">
        <v>7</v>
      </c>
      <c r="E11" s="47"/>
      <c r="F11" s="48">
        <f t="shared" si="3"/>
        <v>2375000</v>
      </c>
      <c r="G11" s="48">
        <f>'Table 10.13'!E19</f>
        <v>-114868.56676492798</v>
      </c>
      <c r="H11" s="48">
        <f t="shared" si="0"/>
        <v>2260131.4332350721</v>
      </c>
      <c r="I11" s="49">
        <f t="shared" si="1"/>
        <v>5.3179563134942875E-2</v>
      </c>
      <c r="J11" s="49">
        <f t="shared" si="2"/>
        <v>4.967321831285873E-2</v>
      </c>
    </row>
    <row r="12" spans="2:13" x14ac:dyDescent="0.2">
      <c r="C12" s="47">
        <v>2029</v>
      </c>
      <c r="D12" s="47">
        <v>8</v>
      </c>
      <c r="E12" s="47"/>
      <c r="F12" s="48">
        <f t="shared" si="3"/>
        <v>2375000</v>
      </c>
      <c r="G12" s="48">
        <f>'Table 10.13'!E20</f>
        <v>-117165.93810022656</v>
      </c>
      <c r="H12" s="48">
        <f t="shared" si="0"/>
        <v>2257834.0618997733</v>
      </c>
      <c r="I12" s="49">
        <f t="shared" si="1"/>
        <v>5.3125507338818198E-2</v>
      </c>
      <c r="J12" s="49">
        <f t="shared" si="2"/>
        <v>4.9622726635159854E-2</v>
      </c>
    </row>
    <row r="13" spans="2:13" x14ac:dyDescent="0.2">
      <c r="C13" s="47">
        <v>2030</v>
      </c>
      <c r="D13" s="47">
        <v>9</v>
      </c>
      <c r="E13" s="47"/>
      <c r="F13" s="48">
        <f t="shared" si="3"/>
        <v>2375000</v>
      </c>
      <c r="G13" s="48">
        <f>'Table 10.13'!E21</f>
        <v>-119509.25686223108</v>
      </c>
      <c r="H13" s="48">
        <f t="shared" si="0"/>
        <v>2255490.7431377689</v>
      </c>
      <c r="I13" s="49">
        <f t="shared" si="1"/>
        <v>5.3070370426771034E-2</v>
      </c>
      <c r="J13" s="49">
        <f t="shared" si="2"/>
        <v>4.9571225123907006E-2</v>
      </c>
    </row>
    <row r="14" spans="2:13" x14ac:dyDescent="0.2">
      <c r="C14" s="47">
        <v>2031</v>
      </c>
      <c r="D14" s="47">
        <v>10</v>
      </c>
      <c r="E14" s="47"/>
      <c r="F14" s="48">
        <f t="shared" si="3"/>
        <v>2375000</v>
      </c>
      <c r="G14" s="48">
        <f>'Table 10.13'!E22</f>
        <v>-121899.4419994757</v>
      </c>
      <c r="H14" s="48">
        <f t="shared" si="0"/>
        <v>2253100.5580005245</v>
      </c>
      <c r="I14" s="49">
        <f t="shared" si="1"/>
        <v>5.3014130776482933E-2</v>
      </c>
      <c r="J14" s="49">
        <f t="shared" si="2"/>
        <v>4.9518693582429107E-2</v>
      </c>
    </row>
    <row r="15" spans="2:13" x14ac:dyDescent="0.2">
      <c r="C15" s="47">
        <v>2032</v>
      </c>
      <c r="D15" s="47">
        <v>11</v>
      </c>
      <c r="E15" s="47"/>
      <c r="F15" s="48">
        <f t="shared" si="3"/>
        <v>2375000</v>
      </c>
      <c r="G15" s="48">
        <f>'Table 10.13'!E23</f>
        <v>-124337.4308394652</v>
      </c>
      <c r="H15" s="48">
        <f t="shared" si="0"/>
        <v>2250662.569160535</v>
      </c>
      <c r="I15" s="49">
        <f t="shared" si="1"/>
        <v>5.2956766333189062E-2</v>
      </c>
      <c r="J15" s="49">
        <f t="shared" si="2"/>
        <v>4.9465111410121651E-2</v>
      </c>
    </row>
    <row r="16" spans="2:13" x14ac:dyDescent="0.2">
      <c r="C16" s="47">
        <v>2033</v>
      </c>
      <c r="D16" s="47">
        <v>12</v>
      </c>
      <c r="E16" s="48">
        <f>'Table 10.10'!$C$17</f>
        <v>92956944.444444448</v>
      </c>
      <c r="F16" s="48">
        <f t="shared" si="3"/>
        <v>2375000</v>
      </c>
      <c r="G16" s="48">
        <f>'Table 10.13'!E24</f>
        <v>-126824.17945625453</v>
      </c>
      <c r="H16" s="48">
        <f t="shared" si="0"/>
        <v>95205120.264988199</v>
      </c>
      <c r="I16" s="47"/>
      <c r="J16" s="47"/>
    </row>
    <row r="17" spans="2:11" x14ac:dyDescent="0.2">
      <c r="C17" s="39" t="s">
        <v>1</v>
      </c>
      <c r="D17" s="39"/>
      <c r="E17" s="40"/>
      <c r="F17" s="40"/>
      <c r="G17" s="39"/>
      <c r="H17" s="51">
        <f>IRR(H4:H16,0.1)</f>
        <v>9.8857191914899945E-2</v>
      </c>
    </row>
    <row r="18" spans="2:11" x14ac:dyDescent="0.2">
      <c r="E18" s="2"/>
      <c r="F18" s="2"/>
    </row>
    <row r="19" spans="2:11" x14ac:dyDescent="0.2">
      <c r="B19" s="6" t="s">
        <v>67</v>
      </c>
      <c r="E19" s="2"/>
      <c r="F19" s="2"/>
    </row>
    <row r="20" spans="2:11" ht="17" thickBot="1" x14ac:dyDescent="0.25">
      <c r="B20" s="6"/>
      <c r="E20" s="2"/>
      <c r="F20" s="2"/>
    </row>
    <row r="21" spans="2:11" x14ac:dyDescent="0.2">
      <c r="B21" s="52" t="s">
        <v>68</v>
      </c>
      <c r="C21" s="53">
        <v>0.5</v>
      </c>
      <c r="E21" s="2"/>
      <c r="F21" s="2"/>
    </row>
    <row r="22" spans="2:11" x14ac:dyDescent="0.2">
      <c r="B22" s="54" t="s">
        <v>69</v>
      </c>
      <c r="C22" s="55">
        <f>-E4*0.5</f>
        <v>21250000</v>
      </c>
      <c r="E22" s="2"/>
      <c r="F22" s="2"/>
    </row>
    <row r="23" spans="2:11" x14ac:dyDescent="0.2">
      <c r="B23" s="54" t="s">
        <v>70</v>
      </c>
      <c r="C23" s="56">
        <f>-E4*(1-C21)</f>
        <v>21250000</v>
      </c>
      <c r="E23" s="2"/>
      <c r="F23" s="2"/>
    </row>
    <row r="24" spans="2:11" ht="17" thickBot="1" x14ac:dyDescent="0.25">
      <c r="B24" s="57" t="s">
        <v>10</v>
      </c>
      <c r="C24" s="58">
        <f>0.03</f>
        <v>0.03</v>
      </c>
    </row>
    <row r="25" spans="2:11" x14ac:dyDescent="0.2">
      <c r="B25" s="6"/>
    </row>
    <row r="26" spans="2:11" x14ac:dyDescent="0.2">
      <c r="C26" s="47" t="s">
        <v>19</v>
      </c>
      <c r="D26" s="47" t="s">
        <v>77</v>
      </c>
      <c r="E26" s="47" t="s">
        <v>20</v>
      </c>
      <c r="F26" s="47" t="s">
        <v>71</v>
      </c>
      <c r="G26" s="47" t="s">
        <v>57</v>
      </c>
      <c r="H26" s="47" t="s">
        <v>21</v>
      </c>
      <c r="I26" s="47" t="s">
        <v>54</v>
      </c>
      <c r="J26" s="47" t="s">
        <v>2</v>
      </c>
      <c r="K26" s="47" t="s">
        <v>60</v>
      </c>
    </row>
    <row r="27" spans="2:11" x14ac:dyDescent="0.2">
      <c r="C27" s="47">
        <v>2021</v>
      </c>
      <c r="D27" s="47">
        <v>0</v>
      </c>
      <c r="E27" s="48">
        <f>-C23</f>
        <v>-21250000</v>
      </c>
      <c r="F27" s="48"/>
      <c r="G27" s="48">
        <v>-3000000</v>
      </c>
      <c r="H27" s="47"/>
      <c r="I27" s="48">
        <f>E27+F27+G27</f>
        <v>-24250000</v>
      </c>
      <c r="J27" s="47"/>
      <c r="K27" s="47"/>
    </row>
    <row r="28" spans="2:11" x14ac:dyDescent="0.2">
      <c r="C28" s="47">
        <v>2022</v>
      </c>
      <c r="D28" s="47">
        <v>1</v>
      </c>
      <c r="E28" s="47"/>
      <c r="F28" s="48">
        <v>2375000</v>
      </c>
      <c r="G28" s="48">
        <f>G5</f>
        <v>-102000</v>
      </c>
      <c r="H28" s="48">
        <f>C22*C24</f>
        <v>637500</v>
      </c>
      <c r="I28" s="48">
        <f>E28+F28+G28-H28</f>
        <v>1635500</v>
      </c>
      <c r="J28" s="49">
        <f>-I28/$E$27</f>
        <v>7.6964705882352935E-2</v>
      </c>
      <c r="K28" s="49">
        <f>I28/-$I$27</f>
        <v>6.7443298969072168E-2</v>
      </c>
    </row>
    <row r="29" spans="2:11" x14ac:dyDescent="0.2">
      <c r="C29" s="47">
        <v>2023</v>
      </c>
      <c r="D29" s="47">
        <v>2</v>
      </c>
      <c r="E29" s="47"/>
      <c r="F29" s="48">
        <f>F28</f>
        <v>2375000</v>
      </c>
      <c r="G29" s="48">
        <f t="shared" ref="G29:G39" si="4">G6</f>
        <v>-104040</v>
      </c>
      <c r="H29" s="48">
        <f>H28</f>
        <v>637500</v>
      </c>
      <c r="I29" s="48">
        <f t="shared" ref="I29:I39" si="5">E29+F29+G29-H29</f>
        <v>1633460</v>
      </c>
      <c r="J29" s="49">
        <f t="shared" ref="J29:J38" si="6">-I29/$E$27</f>
        <v>7.6868705882352936E-2</v>
      </c>
      <c r="K29" s="49">
        <f t="shared" ref="K29:K38" si="7">I29/-$I$27</f>
        <v>6.7359175257731954E-2</v>
      </c>
    </row>
    <row r="30" spans="2:11" x14ac:dyDescent="0.2">
      <c r="C30" s="47">
        <v>2024</v>
      </c>
      <c r="D30" s="47">
        <v>3</v>
      </c>
      <c r="E30" s="47"/>
      <c r="F30" s="48">
        <f t="shared" ref="F30:F39" si="8">F29</f>
        <v>2375000</v>
      </c>
      <c r="G30" s="48">
        <f t="shared" si="4"/>
        <v>-106120.79999999999</v>
      </c>
      <c r="H30" s="48">
        <f t="shared" ref="H30:H39" si="9">H29</f>
        <v>637500</v>
      </c>
      <c r="I30" s="48">
        <f t="shared" si="5"/>
        <v>1631379.2000000002</v>
      </c>
      <c r="J30" s="49">
        <f t="shared" si="6"/>
        <v>7.6770785882352949E-2</v>
      </c>
      <c r="K30" s="49">
        <f t="shared" si="7"/>
        <v>6.7273369072164954E-2</v>
      </c>
    </row>
    <row r="31" spans="2:11" x14ac:dyDescent="0.2">
      <c r="C31" s="47">
        <v>2025</v>
      </c>
      <c r="D31" s="47">
        <v>4</v>
      </c>
      <c r="E31" s="47"/>
      <c r="F31" s="48">
        <f t="shared" si="8"/>
        <v>2375000</v>
      </c>
      <c r="G31" s="48">
        <f t="shared" si="4"/>
        <v>-108243.216</v>
      </c>
      <c r="H31" s="48">
        <f t="shared" si="9"/>
        <v>637500</v>
      </c>
      <c r="I31" s="48">
        <f t="shared" si="5"/>
        <v>1629256.784</v>
      </c>
      <c r="J31" s="49">
        <f t="shared" si="6"/>
        <v>7.6670907482352946E-2</v>
      </c>
      <c r="K31" s="49">
        <f t="shared" si="7"/>
        <v>6.7185846762886595E-2</v>
      </c>
    </row>
    <row r="32" spans="2:11" x14ac:dyDescent="0.2">
      <c r="C32" s="47">
        <v>2026</v>
      </c>
      <c r="D32" s="47">
        <v>5</v>
      </c>
      <c r="E32" s="47"/>
      <c r="F32" s="48">
        <f t="shared" si="8"/>
        <v>2375000</v>
      </c>
      <c r="G32" s="48">
        <f t="shared" si="4"/>
        <v>-110408.08032000001</v>
      </c>
      <c r="H32" s="48">
        <f t="shared" si="9"/>
        <v>637500</v>
      </c>
      <c r="I32" s="48">
        <f t="shared" si="5"/>
        <v>1627091.9196799998</v>
      </c>
      <c r="J32" s="49">
        <f t="shared" si="6"/>
        <v>7.6569031514352931E-2</v>
      </c>
      <c r="K32" s="49">
        <f t="shared" si="7"/>
        <v>6.709657400742268E-2</v>
      </c>
    </row>
    <row r="33" spans="3:11" x14ac:dyDescent="0.2">
      <c r="C33" s="47">
        <v>2027</v>
      </c>
      <c r="D33" s="47">
        <v>6</v>
      </c>
      <c r="E33" s="47"/>
      <c r="F33" s="48">
        <f t="shared" si="8"/>
        <v>2375000</v>
      </c>
      <c r="G33" s="48">
        <f t="shared" si="4"/>
        <v>-112616.24192640001</v>
      </c>
      <c r="H33" s="48">
        <f t="shared" si="9"/>
        <v>637500</v>
      </c>
      <c r="I33" s="48">
        <f t="shared" si="5"/>
        <v>1624883.7580736</v>
      </c>
      <c r="J33" s="49">
        <f t="shared" si="6"/>
        <v>7.6465118026992948E-2</v>
      </c>
      <c r="K33" s="49">
        <f t="shared" si="7"/>
        <v>6.7005515796849491E-2</v>
      </c>
    </row>
    <row r="34" spans="3:11" x14ac:dyDescent="0.2">
      <c r="C34" s="47">
        <v>2028</v>
      </c>
      <c r="D34" s="47">
        <v>7</v>
      </c>
      <c r="E34" s="47"/>
      <c r="F34" s="48">
        <f t="shared" si="8"/>
        <v>2375000</v>
      </c>
      <c r="G34" s="48">
        <f t="shared" si="4"/>
        <v>-114868.56676492798</v>
      </c>
      <c r="H34" s="48">
        <f t="shared" si="9"/>
        <v>637500</v>
      </c>
      <c r="I34" s="48">
        <f t="shared" si="5"/>
        <v>1622631.4332350721</v>
      </c>
      <c r="J34" s="49">
        <f t="shared" si="6"/>
        <v>7.6359126269885738E-2</v>
      </c>
      <c r="K34" s="49">
        <f t="shared" si="7"/>
        <v>6.6912636422064825E-2</v>
      </c>
    </row>
    <row r="35" spans="3:11" x14ac:dyDescent="0.2">
      <c r="C35" s="47">
        <v>2029</v>
      </c>
      <c r="D35" s="47">
        <v>8</v>
      </c>
      <c r="E35" s="47"/>
      <c r="F35" s="48">
        <f t="shared" si="8"/>
        <v>2375000</v>
      </c>
      <c r="G35" s="48">
        <f t="shared" si="4"/>
        <v>-117165.93810022656</v>
      </c>
      <c r="H35" s="48">
        <f t="shared" si="9"/>
        <v>637500</v>
      </c>
      <c r="I35" s="48">
        <f t="shared" si="5"/>
        <v>1620334.0618997733</v>
      </c>
      <c r="J35" s="49">
        <f t="shared" si="6"/>
        <v>7.6251014677636397E-2</v>
      </c>
      <c r="K35" s="49">
        <f t="shared" si="7"/>
        <v>6.6817899459784461E-2</v>
      </c>
    </row>
    <row r="36" spans="3:11" x14ac:dyDescent="0.2">
      <c r="C36" s="47">
        <v>2030</v>
      </c>
      <c r="D36" s="47">
        <v>9</v>
      </c>
      <c r="E36" s="47"/>
      <c r="F36" s="48">
        <f t="shared" si="8"/>
        <v>2375000</v>
      </c>
      <c r="G36" s="48">
        <f t="shared" si="4"/>
        <v>-119509.25686223108</v>
      </c>
      <c r="H36" s="48">
        <f t="shared" si="9"/>
        <v>637500</v>
      </c>
      <c r="I36" s="48">
        <f t="shared" si="5"/>
        <v>1617990.7431377689</v>
      </c>
      <c r="J36" s="49">
        <f t="shared" si="6"/>
        <v>7.6140740853542069E-2</v>
      </c>
      <c r="K36" s="49">
        <f t="shared" si="7"/>
        <v>6.6721267758258512E-2</v>
      </c>
    </row>
    <row r="37" spans="3:11" x14ac:dyDescent="0.2">
      <c r="C37" s="47">
        <v>2031</v>
      </c>
      <c r="D37" s="47">
        <v>10</v>
      </c>
      <c r="E37" s="47"/>
      <c r="F37" s="48">
        <f t="shared" si="8"/>
        <v>2375000</v>
      </c>
      <c r="G37" s="48">
        <f t="shared" si="4"/>
        <v>-121899.4419994757</v>
      </c>
      <c r="H37" s="48">
        <f t="shared" si="9"/>
        <v>637500</v>
      </c>
      <c r="I37" s="48">
        <f t="shared" si="5"/>
        <v>1615600.5580005245</v>
      </c>
      <c r="J37" s="49">
        <f t="shared" si="6"/>
        <v>7.6028261552965853E-2</v>
      </c>
      <c r="K37" s="49">
        <f t="shared" si="7"/>
        <v>6.6622703422702045E-2</v>
      </c>
    </row>
    <row r="38" spans="3:11" x14ac:dyDescent="0.2">
      <c r="C38" s="47">
        <v>2032</v>
      </c>
      <c r="D38" s="47">
        <v>11</v>
      </c>
      <c r="E38" s="47"/>
      <c r="F38" s="48">
        <f t="shared" si="8"/>
        <v>2375000</v>
      </c>
      <c r="G38" s="48">
        <f t="shared" si="4"/>
        <v>-124337.4308394652</v>
      </c>
      <c r="H38" s="48">
        <f t="shared" si="9"/>
        <v>637500</v>
      </c>
      <c r="I38" s="48">
        <f t="shared" si="5"/>
        <v>1613162.569160535</v>
      </c>
      <c r="J38" s="49">
        <f t="shared" si="6"/>
        <v>7.5913532666378111E-2</v>
      </c>
      <c r="K38" s="49">
        <f t="shared" si="7"/>
        <v>6.6522167800434434E-2</v>
      </c>
    </row>
    <row r="39" spans="3:11" x14ac:dyDescent="0.2">
      <c r="C39" s="47">
        <v>2033</v>
      </c>
      <c r="D39" s="47">
        <v>12</v>
      </c>
      <c r="E39" s="48">
        <f>'Table 10.10'!$C$17-C22</f>
        <v>71706944.444444448</v>
      </c>
      <c r="F39" s="48">
        <f t="shared" si="8"/>
        <v>2375000</v>
      </c>
      <c r="G39" s="48">
        <f t="shared" si="4"/>
        <v>-126824.17945625453</v>
      </c>
      <c r="H39" s="48">
        <f t="shared" si="9"/>
        <v>637500</v>
      </c>
      <c r="I39" s="48">
        <f t="shared" si="5"/>
        <v>73317620.264988199</v>
      </c>
      <c r="J39" s="47"/>
      <c r="K39" s="47"/>
    </row>
    <row r="40" spans="3:11" x14ac:dyDescent="0.2">
      <c r="C40" s="39" t="s">
        <v>1</v>
      </c>
      <c r="D40" s="39"/>
      <c r="E40" s="40"/>
      <c r="F40" s="40"/>
      <c r="G40" s="39"/>
      <c r="H40" s="39"/>
      <c r="I40" s="51">
        <f>IRR(I27:I39,0.1)</f>
        <v>0.13920076284190785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36533-1223-0F40-9C70-220053DDDCE7}">
  <sheetPr>
    <tabColor theme="9" tint="0.59999389629810485"/>
  </sheetPr>
  <dimension ref="B2:AT92"/>
  <sheetViews>
    <sheetView showGridLines="0" topLeftCell="A3" workbookViewId="0">
      <selection activeCell="I23" sqref="I23"/>
    </sheetView>
  </sheetViews>
  <sheetFormatPr baseColWidth="10" defaultColWidth="11" defaultRowHeight="16" x14ac:dyDescent="0.2"/>
  <cols>
    <col min="1" max="1" width="6.1640625" customWidth="1"/>
    <col min="2" max="2" width="19.1640625" customWidth="1"/>
    <col min="3" max="15" width="15.83203125" customWidth="1"/>
    <col min="16" max="16" width="12.33203125" bestFit="1" customWidth="1"/>
  </cols>
  <sheetData>
    <row r="2" spans="2:46" x14ac:dyDescent="0.2">
      <c r="B2" s="6" t="s">
        <v>76</v>
      </c>
    </row>
    <row r="3" spans="2:46" ht="17" thickBot="1" x14ac:dyDescent="0.25"/>
    <row r="4" spans="2:46" ht="17" thickBot="1" x14ac:dyDescent="0.25">
      <c r="B4" s="61" t="s">
        <v>7</v>
      </c>
      <c r="C4" s="82">
        <v>220402</v>
      </c>
      <c r="D4" s="1"/>
      <c r="E4" s="10" t="s">
        <v>30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2:46" x14ac:dyDescent="0.2">
      <c r="B5" s="63" t="s">
        <v>72</v>
      </c>
      <c r="C5" s="66">
        <v>2375000</v>
      </c>
      <c r="D5" s="13"/>
      <c r="E5" s="61" t="s">
        <v>31</v>
      </c>
      <c r="F5" s="62">
        <v>250000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2:46" x14ac:dyDescent="0.2">
      <c r="B6" s="63" t="s">
        <v>5</v>
      </c>
      <c r="C6" s="65">
        <v>45000000</v>
      </c>
      <c r="D6" s="1"/>
      <c r="E6" s="63" t="s">
        <v>32</v>
      </c>
      <c r="F6" s="66">
        <v>35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2:46" x14ac:dyDescent="0.2">
      <c r="B7" s="63" t="s">
        <v>73</v>
      </c>
      <c r="C7" s="68">
        <v>7.0000000000000007E-2</v>
      </c>
      <c r="D7" s="1"/>
      <c r="E7" s="63" t="s">
        <v>33</v>
      </c>
      <c r="F7" s="65">
        <f>F5*F6</f>
        <v>8750000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2:46" x14ac:dyDescent="0.2">
      <c r="B8" s="63" t="s">
        <v>11</v>
      </c>
      <c r="C8" s="65">
        <f>C6*C7</f>
        <v>3150000.0000000005</v>
      </c>
      <c r="D8" s="1"/>
      <c r="E8" s="63" t="s">
        <v>34</v>
      </c>
      <c r="F8" s="68">
        <v>4.4999999999999998E-2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2:46" x14ac:dyDescent="0.2">
      <c r="B9" s="63" t="s">
        <v>50</v>
      </c>
      <c r="C9" s="66">
        <f>C6+C8</f>
        <v>48150000</v>
      </c>
      <c r="D9" s="1"/>
      <c r="E9" s="63" t="s">
        <v>35</v>
      </c>
      <c r="F9" s="65">
        <f>F7/F8</f>
        <v>194444444.44444445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2:46" x14ac:dyDescent="0.2">
      <c r="B10" s="63" t="s">
        <v>9</v>
      </c>
      <c r="C10" s="72">
        <v>0.5</v>
      </c>
      <c r="D10" s="1"/>
      <c r="E10" s="63" t="s">
        <v>36</v>
      </c>
      <c r="F10" s="66">
        <v>300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2:46" x14ac:dyDescent="0.2">
      <c r="B11" s="63" t="s">
        <v>69</v>
      </c>
      <c r="C11" s="73">
        <f>C6*C10</f>
        <v>22500000</v>
      </c>
      <c r="D11" s="1"/>
      <c r="E11" s="63" t="s">
        <v>37</v>
      </c>
      <c r="F11" s="79">
        <v>2000000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2:46" x14ac:dyDescent="0.2">
      <c r="B12" s="63" t="s">
        <v>70</v>
      </c>
      <c r="C12" s="65">
        <f>C9-C11</f>
        <v>25650000</v>
      </c>
      <c r="D12" s="1"/>
      <c r="E12" s="63" t="s">
        <v>38</v>
      </c>
      <c r="F12" s="73">
        <f>F5*F10</f>
        <v>75000000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x14ac:dyDescent="0.2">
      <c r="B13" s="63" t="s">
        <v>10</v>
      </c>
      <c r="C13" s="68">
        <v>0.03</v>
      </c>
      <c r="D13" s="1"/>
      <c r="E13" s="63" t="s">
        <v>39</v>
      </c>
      <c r="F13" s="65">
        <f>F12*0.15</f>
        <v>11250000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2:46" x14ac:dyDescent="0.2">
      <c r="B14" s="63" t="s">
        <v>12</v>
      </c>
      <c r="C14" s="74">
        <f>C6/C4</f>
        <v>204.1723759312529</v>
      </c>
      <c r="D14" s="1"/>
      <c r="E14" s="63" t="s">
        <v>50</v>
      </c>
      <c r="F14" s="73">
        <f>F12+F13+F11</f>
        <v>88250000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x14ac:dyDescent="0.2">
      <c r="B15" s="63" t="s">
        <v>13</v>
      </c>
      <c r="C15" s="66">
        <v>3000000</v>
      </c>
      <c r="D15" s="1"/>
      <c r="E15" s="63" t="s">
        <v>40</v>
      </c>
      <c r="F15" s="74">
        <f>(F12+F11+F13)*0.15</f>
        <v>13237500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2:46" x14ac:dyDescent="0.2">
      <c r="B16" s="63" t="s">
        <v>14</v>
      </c>
      <c r="C16" s="65">
        <v>100000</v>
      </c>
      <c r="D16" s="1"/>
      <c r="E16" s="63" t="s">
        <v>51</v>
      </c>
      <c r="F16" s="66">
        <f>F14+F15</f>
        <v>101487500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2:46" ht="17" thickBot="1" x14ac:dyDescent="0.25">
      <c r="B17" s="63" t="s">
        <v>15</v>
      </c>
      <c r="C17" s="68">
        <v>0.02</v>
      </c>
      <c r="D17" s="1"/>
      <c r="E17" s="70" t="s">
        <v>41</v>
      </c>
      <c r="F17" s="78">
        <f>F9-F16</f>
        <v>92956944.444444448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2:46" x14ac:dyDescent="0.2">
      <c r="B18" s="63" t="s">
        <v>16</v>
      </c>
      <c r="C18" s="67">
        <v>0.02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2:46" x14ac:dyDescent="0.2">
      <c r="B19" s="63" t="s">
        <v>17</v>
      </c>
      <c r="C19" s="75">
        <v>8.5000000000000006E-3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2:46" x14ac:dyDescent="0.2">
      <c r="B20" s="63" t="s">
        <v>18</v>
      </c>
      <c r="C20" s="69">
        <v>0.125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2:46" x14ac:dyDescent="0.2">
      <c r="B21" s="63" t="s">
        <v>6</v>
      </c>
      <c r="C21" s="64">
        <f>C19+C20</f>
        <v>0.13350000000000001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2:46" x14ac:dyDescent="0.2">
      <c r="B22" s="63" t="s">
        <v>1</v>
      </c>
      <c r="C22" s="77">
        <f>$C$33</f>
        <v>0.11702628239439883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2:46" ht="17" thickBot="1" x14ac:dyDescent="0.25">
      <c r="B23" s="70" t="s">
        <v>0</v>
      </c>
      <c r="C23" s="71">
        <f>SUM(C35:O35)</f>
        <v>49841256.721309826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2:46" x14ac:dyDescent="0.2">
      <c r="B24" s="1"/>
      <c r="C24" s="1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2:46" x14ac:dyDescent="0.2">
      <c r="B25" s="83" t="s">
        <v>91</v>
      </c>
      <c r="C25" s="83" t="s">
        <v>78</v>
      </c>
      <c r="D25" s="83" t="s">
        <v>79</v>
      </c>
      <c r="E25" s="83" t="s">
        <v>80</v>
      </c>
      <c r="F25" s="83" t="s">
        <v>81</v>
      </c>
      <c r="G25" s="83" t="s">
        <v>82</v>
      </c>
      <c r="H25" s="83" t="s">
        <v>83</v>
      </c>
      <c r="I25" s="83" t="s">
        <v>84</v>
      </c>
      <c r="J25" s="83" t="s">
        <v>85</v>
      </c>
      <c r="K25" s="83" t="s">
        <v>86</v>
      </c>
      <c r="L25" s="83" t="s">
        <v>87</v>
      </c>
      <c r="M25" s="83" t="s">
        <v>88</v>
      </c>
      <c r="N25" s="83" t="s">
        <v>89</v>
      </c>
      <c r="O25" s="83" t="s">
        <v>90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2:46" x14ac:dyDescent="0.2">
      <c r="B26" s="83" t="s">
        <v>19</v>
      </c>
      <c r="C26" s="83">
        <v>0</v>
      </c>
      <c r="D26" s="83">
        <v>1</v>
      </c>
      <c r="E26" s="83">
        <v>2</v>
      </c>
      <c r="F26" s="83">
        <v>3</v>
      </c>
      <c r="G26" s="83">
        <v>4</v>
      </c>
      <c r="H26" s="83">
        <v>5</v>
      </c>
      <c r="I26" s="83">
        <v>6</v>
      </c>
      <c r="J26" s="83">
        <v>7</v>
      </c>
      <c r="K26" s="83">
        <v>8</v>
      </c>
      <c r="L26" s="83">
        <v>9</v>
      </c>
      <c r="M26" s="83">
        <v>10</v>
      </c>
      <c r="N26" s="83">
        <v>11</v>
      </c>
      <c r="O26" s="83">
        <v>12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2:46" x14ac:dyDescent="0.2">
      <c r="B27" s="83" t="s">
        <v>20</v>
      </c>
      <c r="C27" s="84">
        <f>-C12</f>
        <v>-25650000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>
        <f>C59- C11</f>
        <v>70456944.444444448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2:46" x14ac:dyDescent="0.2">
      <c r="B28" s="83" t="s">
        <v>8</v>
      </c>
      <c r="C28" s="83"/>
      <c r="D28" s="84">
        <f>C5</f>
        <v>2375000</v>
      </c>
      <c r="E28" s="84">
        <f>D28</f>
        <v>2375000</v>
      </c>
      <c r="F28" s="84">
        <f t="shared" ref="F28:O28" si="0">E28</f>
        <v>2375000</v>
      </c>
      <c r="G28" s="84">
        <f t="shared" si="0"/>
        <v>2375000</v>
      </c>
      <c r="H28" s="84">
        <f t="shared" si="0"/>
        <v>2375000</v>
      </c>
      <c r="I28" s="84">
        <f t="shared" si="0"/>
        <v>2375000</v>
      </c>
      <c r="J28" s="84">
        <f t="shared" si="0"/>
        <v>2375000</v>
      </c>
      <c r="K28" s="84">
        <f t="shared" si="0"/>
        <v>2375000</v>
      </c>
      <c r="L28" s="84">
        <f t="shared" si="0"/>
        <v>2375000</v>
      </c>
      <c r="M28" s="84">
        <f t="shared" si="0"/>
        <v>2375000</v>
      </c>
      <c r="N28" s="84">
        <f t="shared" si="0"/>
        <v>2375000</v>
      </c>
      <c r="O28" s="84">
        <f t="shared" si="0"/>
        <v>2375000</v>
      </c>
      <c r="P28" s="12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2:46" x14ac:dyDescent="0.2">
      <c r="B29" s="83" t="s">
        <v>14</v>
      </c>
      <c r="C29" s="84">
        <f>-C15</f>
        <v>-3000000</v>
      </c>
      <c r="D29" s="84">
        <f t="shared" ref="D29:O29" si="1">-$C$16*(1+$C$17)^D$26</f>
        <v>-102000</v>
      </c>
      <c r="E29" s="84">
        <f t="shared" si="1"/>
        <v>-104040</v>
      </c>
      <c r="F29" s="84">
        <f t="shared" si="1"/>
        <v>-106120.79999999999</v>
      </c>
      <c r="G29" s="84">
        <f t="shared" si="1"/>
        <v>-108243.216</v>
      </c>
      <c r="H29" s="84">
        <f t="shared" si="1"/>
        <v>-110408.08032000001</v>
      </c>
      <c r="I29" s="84">
        <f t="shared" si="1"/>
        <v>-112616.24192640001</v>
      </c>
      <c r="J29" s="84">
        <f t="shared" si="1"/>
        <v>-114868.56676492798</v>
      </c>
      <c r="K29" s="84">
        <f t="shared" si="1"/>
        <v>-117165.93810022656</v>
      </c>
      <c r="L29" s="84">
        <f t="shared" si="1"/>
        <v>-119509.25686223108</v>
      </c>
      <c r="M29" s="84">
        <f t="shared" si="1"/>
        <v>-121899.4419994757</v>
      </c>
      <c r="N29" s="84">
        <f t="shared" si="1"/>
        <v>-124337.4308394652</v>
      </c>
      <c r="O29" s="84">
        <f t="shared" si="1"/>
        <v>-126824.17945625453</v>
      </c>
      <c r="P29" s="12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2:46" x14ac:dyDescent="0.2">
      <c r="B30" s="83" t="s">
        <v>21</v>
      </c>
      <c r="C30" s="84"/>
      <c r="D30" s="84">
        <f>-C11*$C$13</f>
        <v>-675000</v>
      </c>
      <c r="E30" s="84">
        <f>D30</f>
        <v>-675000</v>
      </c>
      <c r="F30" s="84">
        <f t="shared" ref="F30:O30" si="2">E30</f>
        <v>-675000</v>
      </c>
      <c r="G30" s="84">
        <f t="shared" si="2"/>
        <v>-675000</v>
      </c>
      <c r="H30" s="84">
        <f t="shared" si="2"/>
        <v>-675000</v>
      </c>
      <c r="I30" s="84">
        <f t="shared" si="2"/>
        <v>-675000</v>
      </c>
      <c r="J30" s="84">
        <f t="shared" si="2"/>
        <v>-675000</v>
      </c>
      <c r="K30" s="84">
        <f t="shared" si="2"/>
        <v>-675000</v>
      </c>
      <c r="L30" s="84">
        <f t="shared" si="2"/>
        <v>-675000</v>
      </c>
      <c r="M30" s="84">
        <f t="shared" si="2"/>
        <v>-675000</v>
      </c>
      <c r="N30" s="84">
        <f t="shared" si="2"/>
        <v>-675000</v>
      </c>
      <c r="O30" s="84">
        <f t="shared" si="2"/>
        <v>-675000</v>
      </c>
      <c r="P30" s="12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2:46" x14ac:dyDescent="0.2">
      <c r="B31" s="83" t="s">
        <v>22</v>
      </c>
      <c r="C31" s="84">
        <f>C27+C28+C29+C30</f>
        <v>-28650000</v>
      </c>
      <c r="D31" s="84">
        <f t="shared" ref="D31:N31" si="3">D27+D28+D29+D30</f>
        <v>1598000</v>
      </c>
      <c r="E31" s="84">
        <f t="shared" si="3"/>
        <v>1595960</v>
      </c>
      <c r="F31" s="84">
        <f t="shared" si="3"/>
        <v>1593879.2000000002</v>
      </c>
      <c r="G31" s="84">
        <f t="shared" si="3"/>
        <v>1591756.784</v>
      </c>
      <c r="H31" s="84">
        <f t="shared" si="3"/>
        <v>1589591.9196799998</v>
      </c>
      <c r="I31" s="84">
        <f t="shared" si="3"/>
        <v>1587383.7580736</v>
      </c>
      <c r="J31" s="84">
        <f t="shared" si="3"/>
        <v>1585131.4332350721</v>
      </c>
      <c r="K31" s="84">
        <f t="shared" si="3"/>
        <v>1582834.0618997733</v>
      </c>
      <c r="L31" s="84">
        <f t="shared" si="3"/>
        <v>1580490.7431377689</v>
      </c>
      <c r="M31" s="84">
        <f t="shared" si="3"/>
        <v>1578100.5580005245</v>
      </c>
      <c r="N31" s="84">
        <f t="shared" si="3"/>
        <v>1575662.569160535</v>
      </c>
      <c r="O31" s="84">
        <f>O27+O28+O29+O30</f>
        <v>72030120.264988199</v>
      </c>
      <c r="P31" s="12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2:46" x14ac:dyDescent="0.2">
      <c r="B32" s="83" t="s">
        <v>23</v>
      </c>
      <c r="C32" s="84"/>
      <c r="D32" s="85">
        <f t="shared" ref="D32:N32" si="4">-D31/($C$27-$C$29)</f>
        <v>7.0551876379690945E-2</v>
      </c>
      <c r="E32" s="85">
        <f t="shared" si="4"/>
        <v>7.0461810154525392E-2</v>
      </c>
      <c r="F32" s="85">
        <f t="shared" si="4"/>
        <v>7.0369942604856517E-2</v>
      </c>
      <c r="G32" s="85">
        <f t="shared" si="4"/>
        <v>7.0276237704194264E-2</v>
      </c>
      <c r="H32" s="85">
        <f t="shared" si="4"/>
        <v>7.0180658705518761E-2</v>
      </c>
      <c r="I32" s="85">
        <f t="shared" si="4"/>
        <v>7.0083168126869752E-2</v>
      </c>
      <c r="J32" s="85">
        <f t="shared" si="4"/>
        <v>6.998372773664778E-2</v>
      </c>
      <c r="K32" s="85">
        <f t="shared" si="4"/>
        <v>6.9882298538621337E-2</v>
      </c>
      <c r="L32" s="85">
        <f t="shared" si="4"/>
        <v>6.9778840756634389E-2</v>
      </c>
      <c r="M32" s="85">
        <f t="shared" si="4"/>
        <v>6.9673313819007709E-2</v>
      </c>
      <c r="N32" s="85">
        <f t="shared" si="4"/>
        <v>6.9565676342628474E-2</v>
      </c>
      <c r="O32" s="86"/>
      <c r="P32" s="12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2:46" x14ac:dyDescent="0.2">
      <c r="B33" s="84" t="s">
        <v>1</v>
      </c>
      <c r="C33" s="87">
        <f>IRR(C31:O31,0.1)</f>
        <v>0.11702628239439883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50"/>
      <c r="O33" s="50"/>
      <c r="P33" s="12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2:46" x14ac:dyDescent="0.2">
      <c r="B34" s="84" t="s">
        <v>74</v>
      </c>
      <c r="C34" s="88"/>
      <c r="D34" s="89">
        <f>1/((1+$C$21)^D26)</f>
        <v>0.88222320247022501</v>
      </c>
      <c r="E34" s="89">
        <f t="shared" ref="E34:O34" si="5">1/((1+$C$21)^E26)</f>
        <v>0.77831777897681964</v>
      </c>
      <c r="F34" s="89">
        <f t="shared" si="5"/>
        <v>0.68665000350844252</v>
      </c>
      <c r="G34" s="89">
        <f t="shared" si="5"/>
        <v>0.60577856507140937</v>
      </c>
      <c r="H34" s="89">
        <f t="shared" si="5"/>
        <v>0.53443190566511634</v>
      </c>
      <c r="I34" s="89">
        <f t="shared" si="5"/>
        <v>0.4714882273181441</v>
      </c>
      <c r="J34" s="89">
        <f t="shared" si="5"/>
        <v>0.41595785383162259</v>
      </c>
      <c r="K34" s="89">
        <f t="shared" si="5"/>
        <v>0.36696766989997576</v>
      </c>
      <c r="L34" s="89">
        <f t="shared" si="5"/>
        <v>0.32374739294219301</v>
      </c>
      <c r="M34" s="89">
        <f t="shared" si="5"/>
        <v>0.2856174617928478</v>
      </c>
      <c r="N34" s="89">
        <f t="shared" si="5"/>
        <v>0.25197835182430334</v>
      </c>
      <c r="O34" s="89">
        <f t="shared" si="5"/>
        <v>0.22230114849960594</v>
      </c>
      <c r="P34" s="1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2:46" x14ac:dyDescent="0.2">
      <c r="B35" s="83" t="s">
        <v>75</v>
      </c>
      <c r="C35" s="90">
        <f>SUM(D35:O35)</f>
        <v>24920628.360654913</v>
      </c>
      <c r="D35" s="84">
        <f>D31*D34</f>
        <v>1409792.6775474197</v>
      </c>
      <c r="E35" s="84">
        <f t="shared" ref="E35:O35" si="6">E31*E34</f>
        <v>1242164.0425358452</v>
      </c>
      <c r="F35" s="84">
        <f t="shared" si="6"/>
        <v>1094437.1582720338</v>
      </c>
      <c r="G35" s="84">
        <f t="shared" si="6"/>
        <v>964252.14055420132</v>
      </c>
      <c r="H35" s="84">
        <f t="shared" si="6"/>
        <v>849528.63886445283</v>
      </c>
      <c r="I35" s="84">
        <f t="shared" si="6"/>
        <v>748432.75416773534</v>
      </c>
      <c r="J35" s="84">
        <f t="shared" si="6"/>
        <v>659347.86900950456</v>
      </c>
      <c r="K35" s="84">
        <f t="shared" si="6"/>
        <v>580848.92753367382</v>
      </c>
      <c r="L35" s="84">
        <f t="shared" si="6"/>
        <v>511679.75766012195</v>
      </c>
      <c r="M35" s="84">
        <f t="shared" si="6"/>
        <v>450733.0758299866</v>
      </c>
      <c r="N35" s="84">
        <f t="shared" si="6"/>
        <v>397032.85720831895</v>
      </c>
      <c r="O35" s="84">
        <f t="shared" si="6"/>
        <v>16012378.461471617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2:46" ht="17" thickBot="1" x14ac:dyDescent="0.25">
      <c r="B36" s="1"/>
      <c r="C36" s="12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  <c r="O36" s="1"/>
      <c r="P36" s="12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2:46" x14ac:dyDescent="0.2">
      <c r="B37" s="61" t="s">
        <v>24</v>
      </c>
      <c r="C37" s="80">
        <v>2250000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"/>
      <c r="P37" s="12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2:46" x14ac:dyDescent="0.2">
      <c r="B38" s="63" t="s">
        <v>25</v>
      </c>
      <c r="C38" s="68">
        <v>8.5000000000000006E-3</v>
      </c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2:46" x14ac:dyDescent="0.2">
      <c r="B39" s="63" t="s">
        <v>26</v>
      </c>
      <c r="C39" s="67">
        <v>0.01</v>
      </c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2:46" x14ac:dyDescent="0.2">
      <c r="B40" s="63" t="s">
        <v>6</v>
      </c>
      <c r="C40" s="68">
        <f>C38+C39</f>
        <v>1.8500000000000003E-2</v>
      </c>
      <c r="D40" s="1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2:46" x14ac:dyDescent="0.2">
      <c r="B41" s="63" t="s">
        <v>27</v>
      </c>
      <c r="C41" s="76">
        <f>(1-(1/(1+C40)^O26))/C40</f>
        <v>10.673422381022498</v>
      </c>
      <c r="D41" s="14"/>
      <c r="E41" s="1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2:46" x14ac:dyDescent="0.2">
      <c r="B42" s="63" t="s">
        <v>28</v>
      </c>
      <c r="C42" s="66">
        <f>C37*C41</f>
        <v>24015200.357300621</v>
      </c>
      <c r="D42" s="1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2:46" x14ac:dyDescent="0.2">
      <c r="B43" s="63" t="s">
        <v>29</v>
      </c>
      <c r="C43" s="79">
        <v>1500000</v>
      </c>
      <c r="D43" s="1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2:46" ht="17" thickBot="1" x14ac:dyDescent="0.25">
      <c r="B44" s="70" t="s">
        <v>22</v>
      </c>
      <c r="C44" s="81">
        <f>C42-C43</f>
        <v>22515200.357300621</v>
      </c>
      <c r="D44" s="1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2:46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2:46" ht="17" thickBot="1" x14ac:dyDescent="0.25">
      <c r="B46" s="10" t="s">
        <v>30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2:46" x14ac:dyDescent="0.2">
      <c r="B47" s="61" t="s">
        <v>31</v>
      </c>
      <c r="C47" s="82">
        <v>250000</v>
      </c>
      <c r="D47" s="1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2:46" x14ac:dyDescent="0.2">
      <c r="B48" s="63" t="s">
        <v>32</v>
      </c>
      <c r="C48" s="66">
        <v>35</v>
      </c>
      <c r="D48" s="1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2:46" x14ac:dyDescent="0.2">
      <c r="B49" s="63" t="s">
        <v>33</v>
      </c>
      <c r="C49" s="65">
        <f>C47*C48</f>
        <v>8750000</v>
      </c>
      <c r="D49" s="1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2:46" x14ac:dyDescent="0.2">
      <c r="B50" s="63" t="s">
        <v>34</v>
      </c>
      <c r="C50" s="68">
        <v>4.4999999999999998E-2</v>
      </c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2:46" x14ac:dyDescent="0.2">
      <c r="B51" s="63" t="s">
        <v>35</v>
      </c>
      <c r="C51" s="65">
        <f>C49/C50</f>
        <v>194444444.44444445</v>
      </c>
      <c r="D51" s="1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2:46" x14ac:dyDescent="0.2">
      <c r="B52" s="63" t="s">
        <v>36</v>
      </c>
      <c r="C52" s="66">
        <v>300</v>
      </c>
      <c r="D52" s="1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2:46" x14ac:dyDescent="0.2">
      <c r="B53" s="63" t="s">
        <v>37</v>
      </c>
      <c r="C53" s="79">
        <v>2000000</v>
      </c>
      <c r="D53" s="12"/>
      <c r="E53" s="1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46" x14ac:dyDescent="0.2">
      <c r="B54" s="63" t="s">
        <v>38</v>
      </c>
      <c r="C54" s="73">
        <f>C47*C52</f>
        <v>75000000</v>
      </c>
      <c r="D54" s="12"/>
      <c r="E54" s="1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46" x14ac:dyDescent="0.2">
      <c r="B55" s="63" t="s">
        <v>39</v>
      </c>
      <c r="C55" s="65">
        <f>C54*0.15</f>
        <v>11250000</v>
      </c>
      <c r="D55" s="12"/>
      <c r="E55" s="1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46" x14ac:dyDescent="0.2">
      <c r="B56" s="63" t="s">
        <v>50</v>
      </c>
      <c r="C56" s="73">
        <f>C54+C55+C53</f>
        <v>88250000</v>
      </c>
      <c r="D56" s="12"/>
      <c r="E56" s="1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46" x14ac:dyDescent="0.2">
      <c r="B57" s="63" t="s">
        <v>40</v>
      </c>
      <c r="C57" s="65">
        <f>(C54+C53+C55)*0.15</f>
        <v>13237500</v>
      </c>
      <c r="D57" s="12"/>
      <c r="E57" s="1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46" x14ac:dyDescent="0.2">
      <c r="B58" s="63" t="s">
        <v>51</v>
      </c>
      <c r="C58" s="66">
        <f>C56+C57</f>
        <v>101487500</v>
      </c>
      <c r="D58" s="12"/>
      <c r="E58" s="1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46" x14ac:dyDescent="0.2">
      <c r="B59" s="63" t="s">
        <v>41</v>
      </c>
      <c r="C59" s="65">
        <f>C51-C58</f>
        <v>92956944.444444448</v>
      </c>
      <c r="D59" s="12"/>
      <c r="E59" s="1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46" x14ac:dyDescent="0.2">
      <c r="B60" s="63" t="s">
        <v>42</v>
      </c>
      <c r="C60" s="68">
        <v>8.5000000000000006E-3</v>
      </c>
      <c r="D60" s="16"/>
      <c r="E60" s="1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46" x14ac:dyDescent="0.2">
      <c r="B61" s="63" t="s">
        <v>26</v>
      </c>
      <c r="C61" s="67">
        <v>0.1915</v>
      </c>
      <c r="D61" s="4"/>
      <c r="E61" s="1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46" x14ac:dyDescent="0.2">
      <c r="B62" s="63" t="s">
        <v>6</v>
      </c>
      <c r="C62" s="68">
        <f>C38+C61</f>
        <v>0.2</v>
      </c>
      <c r="D62" s="4"/>
      <c r="E62" s="1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46" x14ac:dyDescent="0.2">
      <c r="B63" s="63" t="s">
        <v>0</v>
      </c>
      <c r="C63" s="76">
        <f>1/(1+C62)^12</f>
        <v>0.11215665478461512</v>
      </c>
      <c r="D63" s="8"/>
      <c r="E63" s="1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46" ht="17" thickBot="1" x14ac:dyDescent="0.25">
      <c r="B64" s="70" t="s">
        <v>3</v>
      </c>
      <c r="C64" s="71">
        <f>'Table 10.10'!C17*C63</f>
        <v>10425739.927888202</v>
      </c>
      <c r="D64" s="12"/>
      <c r="E64" s="1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x14ac:dyDescent="0.2">
      <c r="B65" s="1"/>
      <c r="C65" s="1"/>
      <c r="D65" s="1"/>
      <c r="E65" s="1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x14ac:dyDescent="0.2">
      <c r="B66" s="6" t="s">
        <v>43</v>
      </c>
      <c r="C66" s="1"/>
      <c r="D66" s="1"/>
      <c r="E66" s="1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ht="17" thickBot="1" x14ac:dyDescent="0.25">
      <c r="B67" s="1"/>
      <c r="C67" s="1"/>
      <c r="D67" s="1"/>
      <c r="E67" s="1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x14ac:dyDescent="0.2">
      <c r="B68" s="61" t="s">
        <v>7</v>
      </c>
      <c r="C68" s="82">
        <v>220402</v>
      </c>
      <c r="D68" s="11"/>
      <c r="E68" s="1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x14ac:dyDescent="0.2">
      <c r="B69" s="63" t="s">
        <v>44</v>
      </c>
      <c r="C69" s="66">
        <v>17.5</v>
      </c>
      <c r="D69" s="1"/>
      <c r="E69" s="1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x14ac:dyDescent="0.2">
      <c r="B70" s="63" t="s">
        <v>8</v>
      </c>
      <c r="C70" s="65">
        <f>C68*C69</f>
        <v>3857035</v>
      </c>
      <c r="D70" s="12"/>
      <c r="E70" s="1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x14ac:dyDescent="0.2">
      <c r="B71" s="63" t="s">
        <v>4</v>
      </c>
      <c r="C71" s="68">
        <v>0.06</v>
      </c>
      <c r="D71" s="4"/>
      <c r="E71" s="1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x14ac:dyDescent="0.2">
      <c r="B72" s="63" t="s">
        <v>28</v>
      </c>
      <c r="C72" s="65">
        <f>C70/C71</f>
        <v>64283916.666666672</v>
      </c>
      <c r="D72" s="12"/>
      <c r="E72" s="1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x14ac:dyDescent="0.2">
      <c r="B73" s="63" t="s">
        <v>45</v>
      </c>
      <c r="C73" s="66"/>
      <c r="D73" s="1"/>
      <c r="E73" s="1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x14ac:dyDescent="0.2">
      <c r="B74" s="63" t="s">
        <v>46</v>
      </c>
      <c r="C74" s="79">
        <v>35</v>
      </c>
      <c r="D74" s="1"/>
      <c r="E74" s="1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x14ac:dyDescent="0.2">
      <c r="B75" s="63" t="s">
        <v>47</v>
      </c>
      <c r="C75" s="73">
        <f>C68*C74</f>
        <v>7714070</v>
      </c>
      <c r="D75" s="12"/>
      <c r="E75" s="1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x14ac:dyDescent="0.2">
      <c r="B76" s="63" t="s">
        <v>48</v>
      </c>
      <c r="C76" s="65">
        <f>C72-C75</f>
        <v>56569846.666666672</v>
      </c>
      <c r="D76" s="12"/>
      <c r="E76" s="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x14ac:dyDescent="0.2">
      <c r="B77" s="63" t="s">
        <v>42</v>
      </c>
      <c r="C77" s="68">
        <v>8.5000000000000006E-3</v>
      </c>
      <c r="D77" s="16"/>
      <c r="E77" s="1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x14ac:dyDescent="0.2">
      <c r="B78" s="63" t="s">
        <v>26</v>
      </c>
      <c r="C78" s="67">
        <v>0.125</v>
      </c>
      <c r="D78" s="4"/>
      <c r="E78" s="1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2:16" x14ac:dyDescent="0.2">
      <c r="B79" s="63" t="s">
        <v>6</v>
      </c>
      <c r="C79" s="68">
        <f>C60+C78</f>
        <v>0.13350000000000001</v>
      </c>
      <c r="D79" s="4"/>
      <c r="E79" s="1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2:16" x14ac:dyDescent="0.2">
      <c r="B80" s="63" t="s">
        <v>0</v>
      </c>
      <c r="C80" s="76">
        <f>1/(1+C79)^12</f>
        <v>0.22230114849960594</v>
      </c>
      <c r="D80" s="8"/>
      <c r="E80" s="1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2:16" ht="17" thickBot="1" x14ac:dyDescent="0.25">
      <c r="B81" s="70" t="s">
        <v>3</v>
      </c>
      <c r="C81" s="81">
        <f>C76*C80</f>
        <v>12575541.884446606</v>
      </c>
      <c r="D81" s="12"/>
      <c r="E81" s="1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2:16" x14ac:dyDescent="0.2">
      <c r="B82" s="1"/>
      <c r="C82" s="1"/>
      <c r="D82" s="1"/>
      <c r="E82" s="1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2:16" x14ac:dyDescent="0.2">
      <c r="B83" s="1"/>
      <c r="C83" s="1"/>
      <c r="D83" s="1"/>
      <c r="E83" s="1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2:16" x14ac:dyDescent="0.2">
      <c r="B84" s="1"/>
      <c r="C84" s="1"/>
      <c r="D84" s="1"/>
      <c r="E84" s="1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2:16" x14ac:dyDescent="0.2">
      <c r="B85" s="1"/>
      <c r="C85" s="1"/>
      <c r="D85" s="1"/>
      <c r="E85" s="1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2:16" x14ac:dyDescent="0.2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2:16" x14ac:dyDescent="0.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2:16" x14ac:dyDescent="0.2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2:16" x14ac:dyDescent="0.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2:16" x14ac:dyDescent="0.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2:16" x14ac:dyDescent="0.2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2:16" x14ac:dyDescent="0.2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 10.10</vt:lpstr>
      <vt:lpstr>Table 10.11</vt:lpstr>
      <vt:lpstr>Table 10.12</vt:lpstr>
      <vt:lpstr>Table 10.13</vt:lpstr>
      <vt:lpstr>Table 10.14</vt:lpstr>
      <vt:lpstr>Table 10.15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Baum</dc:creator>
  <cp:lastModifiedBy>Microsoft Office User</cp:lastModifiedBy>
  <dcterms:created xsi:type="dcterms:W3CDTF">2021-12-23T14:55:21Z</dcterms:created>
  <dcterms:modified xsi:type="dcterms:W3CDTF">2022-07-11T06:41:07Z</dcterms:modified>
</cp:coreProperties>
</file>