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https://andrewbaum-my.sharepoint.com/personal/ab_andrewbaum_com/Documents/Academic/Publications/Books/REI/Website materials/Excel/Ang/"/>
    </mc:Choice>
  </mc:AlternateContent>
  <xr:revisionPtr revIDLastSave="4" documentId="8_{717E3AF5-338F-C84D-9C8E-62E40A0E3381}" xr6:coauthVersionLast="47" xr6:coauthVersionMax="47" xr10:uidLastSave="{3ECF493E-B407-1145-9BBD-57CC24558715}"/>
  <bookViews>
    <workbookView xWindow="0" yWindow="500" windowWidth="38400" windowHeight="19580" tabRatio="500" activeTab="2" xr2:uid="{00000000-000D-0000-FFFF-FFFF00000000}"/>
  </bookViews>
  <sheets>
    <sheet name="Tables 6.1-6.5, Figure 6.9" sheetId="1" r:id="rId1"/>
    <sheet name="Tables 6.6-6.13" sheetId="2" r:id="rId2"/>
    <sheet name="Tables 6.14, 6.15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3" l="1"/>
  <c r="F16" i="3"/>
  <c r="D18" i="3"/>
  <c r="D19" i="3"/>
  <c r="E17" i="3"/>
  <c r="E18" i="3"/>
  <c r="E19" i="3"/>
  <c r="E22" i="3" s="1"/>
  <c r="D12" i="3"/>
  <c r="E12" i="3"/>
  <c r="C31" i="3"/>
  <c r="C32" i="3"/>
  <c r="K47" i="2"/>
  <c r="D10" i="2"/>
  <c r="D11" i="2" s="1"/>
  <c r="C4" i="2"/>
  <c r="C6" i="2" s="1"/>
  <c r="H4" i="2"/>
  <c r="H3" i="2"/>
  <c r="K3" i="2" s="1"/>
  <c r="C47" i="2"/>
  <c r="C25" i="2"/>
  <c r="K25" i="2"/>
  <c r="G26" i="2" s="1"/>
  <c r="K36" i="2"/>
  <c r="G37" i="2" s="1"/>
  <c r="C36" i="2"/>
  <c r="C8" i="3"/>
  <c r="C6" i="3"/>
  <c r="C21" i="1"/>
  <c r="C19" i="1"/>
  <c r="D5" i="1"/>
  <c r="E5" i="1"/>
  <c r="F5" i="1"/>
  <c r="G5" i="1"/>
  <c r="C5" i="1"/>
  <c r="D9" i="1"/>
  <c r="D13" i="1" s="1"/>
  <c r="E9" i="1"/>
  <c r="E13" i="1" s="1"/>
  <c r="E10" i="1"/>
  <c r="C24" i="1" s="1"/>
  <c r="F9" i="1"/>
  <c r="F13" i="1"/>
  <c r="G9" i="1"/>
  <c r="G13" i="1"/>
  <c r="C9" i="1"/>
  <c r="C13" i="1"/>
  <c r="G7" i="1"/>
  <c r="F7" i="1"/>
  <c r="F11" i="1" s="1"/>
  <c r="F12" i="1" s="1"/>
  <c r="E7" i="1"/>
  <c r="E11" i="1"/>
  <c r="E12" i="1" s="1"/>
  <c r="D7" i="1"/>
  <c r="C7" i="1"/>
  <c r="C11" i="1" s="1"/>
  <c r="C12" i="1" s="1"/>
  <c r="F19" i="3" l="1"/>
  <c r="F22" i="3" s="1"/>
  <c r="F12" i="3"/>
  <c r="E20" i="3"/>
  <c r="D20" i="3"/>
  <c r="F20" i="3" s="1"/>
  <c r="D22" i="3"/>
  <c r="G61" i="2"/>
  <c r="G59" i="2"/>
  <c r="G62" i="2"/>
  <c r="G63" i="2"/>
  <c r="G64" i="2"/>
  <c r="G58" i="2"/>
  <c r="G60" i="2"/>
  <c r="C20" i="2"/>
  <c r="G11" i="2"/>
  <c r="G66" i="2"/>
  <c r="G65" i="2"/>
  <c r="F47" i="2"/>
  <c r="F36" i="2"/>
  <c r="F25" i="2"/>
  <c r="H47" i="2"/>
  <c r="D16" i="2"/>
  <c r="D14" i="2"/>
  <c r="D12" i="2"/>
  <c r="I4" i="2"/>
  <c r="I5" i="2" s="1"/>
  <c r="D11" i="1"/>
  <c r="D12" i="1" s="1"/>
  <c r="G11" i="1"/>
  <c r="G12" i="1" s="1"/>
  <c r="C22" i="1"/>
  <c r="C23" i="1" s="1"/>
  <c r="C25" i="1" s="1"/>
  <c r="C28" i="1" s="1"/>
  <c r="C20" i="1"/>
  <c r="I6" i="2" l="1"/>
  <c r="K5" i="2"/>
  <c r="D17" i="2"/>
  <c r="J11" i="2" s="1"/>
  <c r="G48" i="2"/>
  <c r="K4" i="2"/>
  <c r="C26" i="1"/>
  <c r="C27" i="1" s="1"/>
  <c r="F48" i="2" l="1"/>
  <c r="F59" i="2" s="1"/>
  <c r="H59" i="2" s="1"/>
  <c r="F26" i="2"/>
  <c r="H26" i="2" s="1"/>
  <c r="F37" i="2"/>
  <c r="H37" i="2" s="1"/>
  <c r="D18" i="2"/>
  <c r="C21" i="2" s="1"/>
  <c r="C22" i="2" s="1"/>
  <c r="F27" i="2"/>
  <c r="F49" i="2"/>
  <c r="F60" i="2" s="1"/>
  <c r="H60" i="2" s="1"/>
  <c r="F38" i="2"/>
  <c r="K6" i="2"/>
  <c r="I7" i="2"/>
  <c r="F39" i="2" l="1"/>
  <c r="F50" i="2"/>
  <c r="F61" i="2" s="1"/>
  <c r="H61" i="2" s="1"/>
  <c r="F28" i="2"/>
  <c r="I8" i="2"/>
  <c r="K7" i="2"/>
  <c r="H48" i="2"/>
  <c r="G38" i="2"/>
  <c r="H38" i="2" s="1"/>
  <c r="G27" i="2"/>
  <c r="H27" i="2" s="1"/>
  <c r="G39" i="2" l="1"/>
  <c r="H39" i="2" s="1"/>
  <c r="K8" i="2"/>
  <c r="I9" i="2"/>
  <c r="G49" i="2"/>
  <c r="H49" i="2" s="1"/>
  <c r="F29" i="2"/>
  <c r="F51" i="2"/>
  <c r="F62" i="2" s="1"/>
  <c r="H62" i="2" s="1"/>
  <c r="F40" i="2"/>
  <c r="G28" i="2"/>
  <c r="H28" i="2" s="1"/>
  <c r="G29" i="2" l="1"/>
  <c r="H29" i="2" s="1"/>
  <c r="G50" i="2"/>
  <c r="H50" i="2" s="1"/>
  <c r="I10" i="2"/>
  <c r="K9" i="2"/>
  <c r="G40" i="2"/>
  <c r="H40" i="2" s="1"/>
  <c r="F41" i="2"/>
  <c r="F52" i="2"/>
  <c r="F63" i="2" s="1"/>
  <c r="H63" i="2" s="1"/>
  <c r="F30" i="2"/>
  <c r="G41" i="2" l="1"/>
  <c r="H41" i="2" s="1"/>
  <c r="G30" i="2"/>
  <c r="H30" i="2" s="1"/>
  <c r="I11" i="2"/>
  <c r="K11" i="2" s="1"/>
  <c r="K10" i="2"/>
  <c r="F42" i="2"/>
  <c r="F53" i="2"/>
  <c r="F64" i="2" s="1"/>
  <c r="H64" i="2" s="1"/>
  <c r="F31" i="2"/>
  <c r="G51" i="2"/>
  <c r="H51" i="2" s="1"/>
  <c r="G31" i="2" l="1"/>
  <c r="H31" i="2" s="1"/>
  <c r="G52" i="2"/>
  <c r="H52" i="2" s="1"/>
  <c r="G42" i="2"/>
  <c r="H42" i="2" s="1"/>
  <c r="F44" i="2"/>
  <c r="F33" i="2"/>
  <c r="F55" i="2"/>
  <c r="F66" i="2" s="1"/>
  <c r="H66" i="2" s="1"/>
  <c r="F32" i="2"/>
  <c r="F54" i="2"/>
  <c r="F65" i="2" s="1"/>
  <c r="H65" i="2" s="1"/>
  <c r="F43" i="2"/>
  <c r="G53" i="2" l="1"/>
  <c r="H53" i="2" s="1"/>
  <c r="G32" i="2"/>
  <c r="H32" i="2" s="1"/>
  <c r="G43" i="2"/>
  <c r="H43" i="2" s="1"/>
  <c r="G44" i="2" l="1"/>
  <c r="H44" i="2" s="1"/>
  <c r="C35" i="2" s="1"/>
  <c r="C37" i="2" s="1"/>
  <c r="C39" i="2" s="1"/>
  <c r="G54" i="2"/>
  <c r="H54" i="2" s="1"/>
  <c r="G33" i="2"/>
  <c r="H33" i="2" s="1"/>
  <c r="C24" i="2" s="1"/>
  <c r="C26" i="2" s="1"/>
  <c r="C28" i="2" s="1"/>
  <c r="G55" i="2" l="1"/>
  <c r="H55" i="2" s="1"/>
  <c r="C46" i="2" s="1"/>
  <c r="C48" i="2" s="1"/>
  <c r="C50" i="2" s="1"/>
  <c r="F58" i="2" l="1"/>
  <c r="H58" i="2" s="1"/>
  <c r="H67" i="2" s="1"/>
</calcChain>
</file>

<file path=xl/sharedStrings.xml><?xml version="1.0" encoding="utf-8"?>
<sst xmlns="http://schemas.openxmlformats.org/spreadsheetml/2006/main" count="120" uniqueCount="89">
  <si>
    <t>Size</t>
  </si>
  <si>
    <t>Rent psf</t>
  </si>
  <si>
    <t>Cost psf</t>
  </si>
  <si>
    <t>Cap rate</t>
  </si>
  <si>
    <t>GDV</t>
  </si>
  <si>
    <t>Site cost</t>
  </si>
  <si>
    <t>Cost inc fees</t>
  </si>
  <si>
    <t>Profit</t>
  </si>
  <si>
    <t>Profit as %</t>
  </si>
  <si>
    <t>Development yield</t>
  </si>
  <si>
    <t xml:space="preserve">Building costs </t>
  </si>
  <si>
    <t xml:space="preserve">Fees </t>
  </si>
  <si>
    <t xml:space="preserve">Total costs </t>
  </si>
  <si>
    <t xml:space="preserve">Land price </t>
  </si>
  <si>
    <t xml:space="preserve">Total cost inc land </t>
  </si>
  <si>
    <t xml:space="preserve">Residual profit </t>
  </si>
  <si>
    <t xml:space="preserve">Profit on cost </t>
  </si>
  <si>
    <t xml:space="preserve">Development yield </t>
  </si>
  <si>
    <t xml:space="preserve">Gross rental value </t>
  </si>
  <si>
    <t>2009 analysis (section 6.5)</t>
  </si>
  <si>
    <t>Rental value</t>
  </si>
  <si>
    <t>Size of completed development (sq ft)</t>
  </si>
  <si>
    <t xml:space="preserve">Rent </t>
  </si>
  <si>
    <t xml:space="preserve">Value of completed development </t>
  </si>
  <si>
    <t>Costs/profit</t>
  </si>
  <si>
    <t>Demolition and site preparation</t>
  </si>
  <si>
    <t xml:space="preserve">Construction psf @ </t>
  </si>
  <si>
    <t>Fees @</t>
  </si>
  <si>
    <t>Contingency@</t>
  </si>
  <si>
    <t>Plus profit@</t>
  </si>
  <si>
    <t>Total cost inc profit</t>
  </si>
  <si>
    <t>Less: total cost inc profit</t>
  </si>
  <si>
    <t>Land value</t>
  </si>
  <si>
    <t>Quarter</t>
  </si>
  <si>
    <t>Cash in</t>
  </si>
  <si>
    <t>Site costs</t>
  </si>
  <si>
    <t>Building</t>
  </si>
  <si>
    <t>Other</t>
  </si>
  <si>
    <t>Net cash</t>
  </si>
  <si>
    <t>Project cost</t>
  </si>
  <si>
    <t>Debt</t>
  </si>
  <si>
    <t>Developer equity</t>
  </si>
  <si>
    <t>Investor equity</t>
  </si>
  <si>
    <t>Total equity</t>
  </si>
  <si>
    <t>Sale proceeds</t>
  </si>
  <si>
    <t>Bank</t>
  </si>
  <si>
    <t>Developer</t>
  </si>
  <si>
    <t>Capital partner</t>
  </si>
  <si>
    <t>Total</t>
  </si>
  <si>
    <t>Capital invested</t>
  </si>
  <si>
    <t>Capital returned</t>
  </si>
  <si>
    <t>First hurdle distribution</t>
  </si>
  <si>
    <t>Second hurdle distribution</t>
  </si>
  <si>
    <t>Total distributions to equity</t>
  </si>
  <si>
    <t>(%)</t>
  </si>
  <si>
    <t>IRR</t>
  </si>
  <si>
    <t>Equity multiple</t>
  </si>
  <si>
    <t>Interest @10% pa</t>
  </si>
  <si>
    <t>Capital outstanding</t>
  </si>
  <si>
    <t>Interest @20% pa</t>
  </si>
  <si>
    <t>Interest @15% pa</t>
  </si>
  <si>
    <t>PV @ 3.556%</t>
  </si>
  <si>
    <t>PV$</t>
  </si>
  <si>
    <t>NPV</t>
  </si>
  <si>
    <t>Say</t>
  </si>
  <si>
    <t>Total cost</t>
  </si>
  <si>
    <t>quarterly</t>
  </si>
  <si>
    <t>Interest @ 10% pa =</t>
  </si>
  <si>
    <t>Interest @ 20% pa =</t>
  </si>
  <si>
    <t>Interest @ 15% pa =</t>
  </si>
  <si>
    <t xml:space="preserve">Surplus available: </t>
  </si>
  <si>
    <t xml:space="preserve">PV $1 in 2 years @15%: </t>
  </si>
  <si>
    <t xml:space="preserve">Present value </t>
  </si>
  <si>
    <t>Maximum site cost</t>
  </si>
  <si>
    <t xml:space="preserve">PV $1 in 2 years @20%: </t>
  </si>
  <si>
    <t>Acquisition fees</t>
  </si>
  <si>
    <t xml:space="preserve">PV $1 in 2 years @10%: </t>
  </si>
  <si>
    <t>Debt repaid</t>
  </si>
  <si>
    <t>Developer equity repaid</t>
  </si>
  <si>
    <t>Funding partner equity repaid</t>
  </si>
  <si>
    <t>Remaining distribution</t>
  </si>
  <si>
    <t>Developer fee</t>
  </si>
  <si>
    <t>Total paid</t>
  </si>
  <si>
    <t>2005</t>
  </si>
  <si>
    <t>2007</t>
  </si>
  <si>
    <t>2009</t>
  </si>
  <si>
    <t>2015</t>
  </si>
  <si>
    <t>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</si>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</sst>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"/>
    <numFmt numFmtId="165" formatCode="0.0%"/>
    <numFmt numFmtId="166" formatCode="0.0000"/>
    <numFmt numFmtId="167" formatCode="&quot;£&quot;#,##0.00"/>
    <numFmt numFmtId="168" formatCode="0.0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auto="1"/>
      </left>
      <right/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/>
      <right style="medium">
        <color indexed="64"/>
      </right>
      <top style="medium">
        <color auto="1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164" fontId="4" fillId="0" borderId="0" xfId="0" applyNumberFormat="1" applyFont="1"/>
    <xf numFmtId="0" fontId="6" fillId="6" borderId="6" xfId="0" applyFont="1" applyFill="1" applyBorder="1"/>
    <xf numFmtId="164" fontId="0" fillId="4" borderId="7" xfId="0" applyNumberFormat="1" applyFill="1" applyBorder="1"/>
    <xf numFmtId="0" fontId="6" fillId="6" borderId="8" xfId="0" applyFont="1" applyFill="1" applyBorder="1"/>
    <xf numFmtId="164" fontId="0" fillId="5" borderId="9" xfId="0" applyNumberFormat="1" applyFill="1" applyBorder="1"/>
    <xf numFmtId="164" fontId="0" fillId="4" borderId="9" xfId="0" applyNumberFormat="1" applyFill="1" applyBorder="1"/>
    <xf numFmtId="164" fontId="0" fillId="5" borderId="9" xfId="1" applyNumberFormat="1" applyFont="1" applyFill="1" applyBorder="1"/>
    <xf numFmtId="10" fontId="0" fillId="4" borderId="9" xfId="1" applyNumberFormat="1" applyFont="1" applyFill="1" applyBorder="1"/>
    <xf numFmtId="0" fontId="6" fillId="6" borderId="10" xfId="0" applyFont="1" applyFill="1" applyBorder="1"/>
    <xf numFmtId="10" fontId="0" fillId="5" borderId="11" xfId="1" applyNumberFormat="1" applyFont="1" applyFill="1" applyBorder="1"/>
    <xf numFmtId="0" fontId="7" fillId="0" borderId="0" xfId="0" applyFont="1"/>
    <xf numFmtId="165" fontId="0" fillId="0" borderId="0" xfId="1" applyNumberFormat="1" applyFont="1" applyBorder="1"/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3" fontId="8" fillId="4" borderId="9" xfId="0" applyNumberFormat="1" applyFont="1" applyFill="1" applyBorder="1" applyAlignment="1">
      <alignment horizontal="right" vertical="center"/>
    </xf>
    <xf numFmtId="0" fontId="8" fillId="5" borderId="12" xfId="0" applyFont="1" applyFill="1" applyBorder="1" applyAlignment="1">
      <alignment horizontal="right" vertical="center"/>
    </xf>
    <xf numFmtId="3" fontId="8" fillId="5" borderId="1" xfId="0" applyNumberFormat="1" applyFont="1" applyFill="1" applyBorder="1" applyAlignment="1">
      <alignment horizontal="right" vertical="center"/>
    </xf>
    <xf numFmtId="3" fontId="8" fillId="5" borderId="9" xfId="0" applyNumberFormat="1" applyFont="1" applyFill="1" applyBorder="1" applyAlignment="1">
      <alignment horizontal="right" vertical="center"/>
    </xf>
    <xf numFmtId="0" fontId="8" fillId="4" borderId="13" xfId="0" applyFont="1" applyFill="1" applyBorder="1" applyAlignment="1">
      <alignment horizontal="right" vertical="center"/>
    </xf>
    <xf numFmtId="3" fontId="8" fillId="4" borderId="14" xfId="0" applyNumberFormat="1" applyFont="1" applyFill="1" applyBorder="1" applyAlignment="1">
      <alignment horizontal="right" vertical="center"/>
    </xf>
    <xf numFmtId="3" fontId="8" fillId="4" borderId="11" xfId="0" applyNumberFormat="1" applyFont="1" applyFill="1" applyBorder="1" applyAlignment="1">
      <alignment horizontal="right" vertical="center"/>
    </xf>
    <xf numFmtId="0" fontId="0" fillId="0" borderId="17" xfId="0" applyBorder="1"/>
    <xf numFmtId="10" fontId="0" fillId="2" borderId="18" xfId="1" applyNumberFormat="1" applyFont="1" applyFill="1" applyBorder="1"/>
    <xf numFmtId="0" fontId="0" fillId="0" borderId="19" xfId="0" applyBorder="1"/>
    <xf numFmtId="165" fontId="8" fillId="4" borderId="20" xfId="1" applyNumberFormat="1" applyFont="1" applyFill="1" applyBorder="1" applyAlignment="1">
      <alignment horizontal="right" vertical="center"/>
    </xf>
    <xf numFmtId="167" fontId="8" fillId="4" borderId="21" xfId="0" applyNumberFormat="1" applyFont="1" applyFill="1" applyBorder="1" applyAlignment="1">
      <alignment horizontal="right" vertical="center"/>
    </xf>
    <xf numFmtId="165" fontId="8" fillId="5" borderId="4" xfId="1" applyNumberFormat="1" applyFont="1" applyFill="1" applyBorder="1" applyAlignment="1">
      <alignment horizontal="right" vertical="center"/>
    </xf>
    <xf numFmtId="167" fontId="8" fillId="5" borderId="22" xfId="0" applyNumberFormat="1" applyFont="1" applyFill="1" applyBorder="1" applyAlignment="1">
      <alignment horizontal="right" vertical="center"/>
    </xf>
    <xf numFmtId="165" fontId="8" fillId="4" borderId="4" xfId="1" applyNumberFormat="1" applyFont="1" applyFill="1" applyBorder="1" applyAlignment="1">
      <alignment horizontal="right" vertical="center"/>
    </xf>
    <xf numFmtId="167" fontId="8" fillId="4" borderId="22" xfId="0" applyNumberFormat="1" applyFont="1" applyFill="1" applyBorder="1" applyAlignment="1">
      <alignment horizontal="right" vertical="center"/>
    </xf>
    <xf numFmtId="165" fontId="8" fillId="4" borderId="23" xfId="1" applyNumberFormat="1" applyFont="1" applyFill="1" applyBorder="1" applyAlignment="1">
      <alignment horizontal="right" vertical="center"/>
    </xf>
    <xf numFmtId="167" fontId="8" fillId="4" borderId="24" xfId="0" applyNumberFormat="1" applyFont="1" applyFill="1" applyBorder="1" applyAlignment="1">
      <alignment horizontal="right" vertical="center"/>
    </xf>
    <xf numFmtId="164" fontId="8" fillId="4" borderId="4" xfId="1" applyNumberFormat="1" applyFont="1" applyFill="1" applyBorder="1" applyAlignment="1">
      <alignment horizontal="right" vertical="center"/>
    </xf>
    <xf numFmtId="164" fontId="8" fillId="4" borderId="21" xfId="1" applyNumberFormat="1" applyFont="1" applyFill="1" applyBorder="1" applyAlignment="1">
      <alignment horizontal="right" vertical="center"/>
    </xf>
    <xf numFmtId="164" fontId="8" fillId="4" borderId="22" xfId="1" applyNumberFormat="1" applyFont="1" applyFill="1" applyBorder="1" applyAlignment="1">
      <alignment horizontal="right" vertical="center"/>
    </xf>
    <xf numFmtId="165" fontId="8" fillId="5" borderId="22" xfId="1" applyNumberFormat="1" applyFont="1" applyFill="1" applyBorder="1" applyAlignment="1">
      <alignment horizontal="right" vertical="center"/>
    </xf>
    <xf numFmtId="164" fontId="8" fillId="4" borderId="24" xfId="1" applyNumberFormat="1" applyFont="1" applyFill="1" applyBorder="1" applyAlignment="1">
      <alignment horizontal="right" vertical="center"/>
    </xf>
    <xf numFmtId="0" fontId="5" fillId="6" borderId="10" xfId="0" applyFont="1" applyFill="1" applyBorder="1"/>
    <xf numFmtId="164" fontId="9" fillId="4" borderId="24" xfId="1" applyNumberFormat="1" applyFont="1" applyFill="1" applyBorder="1" applyAlignment="1">
      <alignment horizontal="right" vertical="center"/>
    </xf>
    <xf numFmtId="168" fontId="8" fillId="5" borderId="22" xfId="1" applyNumberFormat="1" applyFont="1" applyFill="1" applyBorder="1" applyAlignment="1">
      <alignment horizontal="right" vertical="center"/>
    </xf>
    <xf numFmtId="1" fontId="8" fillId="5" borderId="22" xfId="1" applyNumberFormat="1" applyFont="1" applyFill="1" applyBorder="1" applyAlignment="1">
      <alignment horizontal="right" vertical="center"/>
    </xf>
    <xf numFmtId="164" fontId="8" fillId="5" borderId="22" xfId="0" applyNumberFormat="1" applyFont="1" applyFill="1" applyBorder="1" applyAlignment="1">
      <alignment horizontal="right" vertical="center"/>
    </xf>
    <xf numFmtId="164" fontId="8" fillId="4" borderId="22" xfId="0" applyNumberFormat="1" applyFont="1" applyFill="1" applyBorder="1" applyAlignment="1">
      <alignment horizontal="right" vertical="center"/>
    </xf>
    <xf numFmtId="9" fontId="8" fillId="5" borderId="23" xfId="1" applyFont="1" applyFill="1" applyBorder="1" applyAlignment="1">
      <alignment horizontal="right" vertical="center"/>
    </xf>
    <xf numFmtId="164" fontId="8" fillId="5" borderId="24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164" fontId="8" fillId="0" borderId="5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166" fontId="8" fillId="0" borderId="25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4" fillId="0" borderId="25" xfId="0" applyFont="1" applyBorder="1"/>
    <xf numFmtId="3" fontId="9" fillId="0" borderId="26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4" fontId="8" fillId="5" borderId="22" xfId="1" applyNumberFormat="1" applyFont="1" applyFill="1" applyBorder="1" applyAlignment="1">
      <alignment horizontal="right" vertical="center"/>
    </xf>
    <xf numFmtId="1" fontId="8" fillId="4" borderId="21" xfId="1" applyNumberFormat="1" applyFont="1" applyFill="1" applyBorder="1" applyAlignment="1">
      <alignment horizontal="right" vertical="center"/>
    </xf>
    <xf numFmtId="1" fontId="8" fillId="4" borderId="22" xfId="1" applyNumberFormat="1" applyFont="1" applyFill="1" applyBorder="1" applyAlignment="1">
      <alignment horizontal="right" vertical="center"/>
    </xf>
    <xf numFmtId="1" fontId="8" fillId="5" borderId="24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10" fontId="8" fillId="0" borderId="4" xfId="0" applyNumberFormat="1" applyFont="1" applyBorder="1" applyAlignment="1">
      <alignment horizontal="right" vertical="center"/>
    </xf>
    <xf numFmtId="9" fontId="8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 wrapText="1"/>
    </xf>
    <xf numFmtId="2" fontId="8" fillId="0" borderId="5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6" borderId="15" xfId="0" applyFont="1" applyFill="1" applyBorder="1"/>
    <xf numFmtId="0" fontId="6" fillId="6" borderId="12" xfId="0" applyFont="1" applyFill="1" applyBorder="1"/>
    <xf numFmtId="0" fontId="6" fillId="6" borderId="13" xfId="0" applyFont="1" applyFill="1" applyBorder="1"/>
    <xf numFmtId="2" fontId="8" fillId="4" borderId="7" xfId="1" applyNumberFormat="1" applyFont="1" applyFill="1" applyBorder="1" applyAlignment="1">
      <alignment horizontal="right" vertical="center"/>
    </xf>
    <xf numFmtId="2" fontId="8" fillId="5" borderId="9" xfId="1" applyNumberFormat="1" applyFont="1" applyFill="1" applyBorder="1" applyAlignment="1">
      <alignment horizontal="right" vertical="center"/>
    </xf>
    <xf numFmtId="2" fontId="8" fillId="4" borderId="9" xfId="1" applyNumberFormat="1" applyFont="1" applyFill="1" applyBorder="1" applyAlignment="1">
      <alignment horizontal="right" vertical="center"/>
    </xf>
    <xf numFmtId="2" fontId="8" fillId="4" borderId="11" xfId="1" applyNumberFormat="1" applyFont="1" applyFill="1" applyBorder="1" applyAlignment="1">
      <alignment horizontal="right" vertical="center"/>
    </xf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Per cent" xfId="1" builtinId="5"/>
  </cellStyles>
  <dxfs count="43"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right" vertical="center" textRotation="0" wrapText="1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border>
        <top style="thin">
          <color theme="0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66" formatCode="0.0000"/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right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right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border>
        <top style="thin">
          <color theme="0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right" textRotation="0" wrapText="0" indent="0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border>
        <top style="thin">
          <color theme="0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numFmt numFmtId="164" formatCode="&quot;£&quot;#,##0"/>
    </dxf>
    <dxf>
      <numFmt numFmtId="164" formatCode="&quot;£&quot;#,##0"/>
    </dxf>
    <dxf>
      <numFmt numFmtId="164" formatCode="&quot;£&quot;#,##0"/>
    </dxf>
    <dxf>
      <numFmt numFmtId="164" formatCode="&quot;£&quot;#,##0"/>
    </dxf>
    <dxf>
      <numFmt numFmtId="164" formatCode="&quot;£&quot;#,##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'Tables 6.1-6.5, Figure 6.9'!$C$2:$G$2</c:f>
              <c:strCache>
                <c:ptCount val="5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2015</c:v>
                </c:pt>
                <c:pt idx="4">
                  <c:v>2018</c:v>
                </c:pt>
              </c:strCache>
            </c:strRef>
          </c:cat>
          <c:val>
            <c:numRef>
              <c:f>'Tables 6.1-6.5, Figure 6.9'!$C$12:$G$12</c:f>
              <c:numCache>
                <c:formatCode>0.0%</c:formatCode>
                <c:ptCount val="5"/>
                <c:pt idx="0">
                  <c:v>0.12811059907834102</c:v>
                </c:pt>
                <c:pt idx="1">
                  <c:v>0.5412663217541267</c:v>
                </c:pt>
                <c:pt idx="2">
                  <c:v>-0.24155110235342234</c:v>
                </c:pt>
                <c:pt idx="3">
                  <c:v>0.50047846889952152</c:v>
                </c:pt>
                <c:pt idx="4">
                  <c:v>0.2506012506012506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7-4A62-993B-7C11923A8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7878368"/>
        <c:axId val="-148771584"/>
      </c:lineChart>
      <c:catAx>
        <c:axId val="-16787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8771584"/>
        <c:crosses val="autoZero"/>
        <c:auto val="1"/>
        <c:lblAlgn val="ctr"/>
        <c:lblOffset val="100"/>
        <c:noMultiLvlLbl val="0"/>
      </c:catAx>
      <c:valAx>
        <c:axId val="-14877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87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771525</xdr:colOff>
      <xdr:row>0</xdr:row>
      <xdr:rowOff>38100</xdr:rowOff>
    </xdr:from>
    <xdr:to>
      <xdr:col>15</xdr:col>
      <xdr:colOff>352425</xdr:colOff>
      <xdr:row>16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FAEAEC-8D23-4372-8F1C-0C8FDA5E2EA5}" name="Table1" displayName="Table1" ref="B2:G13" totalsRowShown="0" tableBorderDxfId="42">
  <tableColumns count="6">
    <tableColumn id="1" xr3:uid="{3B7DD2D4-4B6C-434B-AE1C-868651E813D2}" name=" "/>
    <tableColumn id="2" xr3:uid="{971AC79A-E0D8-4555-9897-0D32146A244B}" name="2005" dataDxfId="41"/>
    <tableColumn id="3" xr3:uid="{8E9E61DA-034A-4975-AC20-BCE4AB5EA739}" name="2007" dataDxfId="40"/>
    <tableColumn id="4" xr3:uid="{A3045F3C-A24D-4D93-BDD3-8C130E9B4461}" name="2009" dataDxfId="39"/>
    <tableColumn id="5" xr3:uid="{B55D051E-A22E-4C50-AB26-B5D8ED5A9A5D}" name="2015" dataDxfId="38"/>
    <tableColumn id="6" xr3:uid="{D1CE195E-FA86-400B-AB14-CF152BA9CC04}" name="2018" dataDxfId="37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F0B19B-C5ED-4992-BAAE-52BE9670AED0}" name="Table2" displayName="Table2" ref="E24:H33" totalsRowShown="0" headerRowDxfId="36" dataDxfId="34" headerRowBorderDxfId="35" tableBorderDxfId="33" totalsRowBorderDxfId="32">
  <tableColumns count="4">
    <tableColumn id="1" xr3:uid="{A5687087-B00D-48F0-A233-4A514801C826}" name="Quarter" dataDxfId="31"/>
    <tableColumn id="2" xr3:uid="{1FC8A0E0-D88C-4FC5-AF4F-1CCA4891306D}" name="Net cash" dataDxfId="30">
      <calculatedColumnFormula>K3</calculatedColumnFormula>
    </tableColumn>
    <tableColumn id="3" xr3:uid="{945DB62C-3A13-4EC8-90C9-464687DE06E2}" name="Interest @10% pa" dataDxfId="29">
      <calculatedColumnFormula>H24*$K$25</calculatedColumnFormula>
    </tableColumn>
    <tableColumn id="4" xr3:uid="{F63F1455-754A-45F2-93A9-EA3552352065}" name="Capital outstanding" dataDxfId="28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1DC8796-6CEF-492D-AE33-8D4F972D5157}" name="Table3" displayName="Table3" ref="F2:K11" totalsRowShown="0" headerRowDxfId="27" dataDxfId="25" headerRowBorderDxfId="26" tableBorderDxfId="24" totalsRowBorderDxfId="23">
  <tableColumns count="6">
    <tableColumn id="1" xr3:uid="{598A96F3-A8F9-423A-A9F8-365C28DEDBB0}" name="Quarter" dataDxfId="22"/>
    <tableColumn id="2" xr3:uid="{789A1D53-3621-44EC-8EBE-F2A21F3D1AF6}" name="Cash in" dataDxfId="21"/>
    <tableColumn id="3" xr3:uid="{538D6CE4-6DED-4FBC-AEFE-D1A356A15FFE}" name="Site costs" dataDxfId="20"/>
    <tableColumn id="4" xr3:uid="{3C4BDF5C-3373-48A5-9EC1-EBB50E863FCF}" name="Building" dataDxfId="19">
      <calculatedColumnFormula>I2</calculatedColumnFormula>
    </tableColumn>
    <tableColumn id="5" xr3:uid="{CD6767E0-F6B2-4AAC-935A-D45C88E69CB2}" name="Other" dataDxfId="18"/>
    <tableColumn id="6" xr3:uid="{0E7DC468-D13C-46F0-B8AE-5B920E398864}" name="Net cash" dataDxfId="17">
      <calculatedColumnFormula>G3-H3-I3-J3</calculatedColumnFormula>
    </tableColumn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F07E04C-0B7F-4914-B412-DFBC4313DAAD}" name="Table4" displayName="Table4" ref="E57:H67" totalsRowShown="0" headerRowDxfId="16" dataDxfId="15" tableBorderDxfId="14">
  <tableColumns count="4">
    <tableColumn id="1" xr3:uid="{B04973FD-CA8B-47E8-A6EC-69DBA0812515}" name="Quarter" dataDxfId="13"/>
    <tableColumn id="2" xr3:uid="{266EAFC8-AADE-4152-A8D4-01DDAF298681}" name="Net cash" dataDxfId="12"/>
    <tableColumn id="3" xr3:uid="{F3634B7C-251F-439D-9BE2-2A7D617BA2A5}" name="PV @ 3.556%" dataDxfId="11"/>
    <tableColumn id="4" xr3:uid="{0E7A73F3-2237-41B5-B1A4-A910D0431D72}" name="PV$" dataDxfId="10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3C727F0-41EF-435B-9714-1C966E7FEC41}" name="Table5" displayName="Table5" ref="B10:F22" totalsRowShown="0" headerRowDxfId="9" dataDxfId="7" headerRowBorderDxfId="8" tableBorderDxfId="6" totalsRowBorderDxfId="5">
  <tableColumns count="5">
    <tableColumn id="1" xr3:uid="{202FD3C1-351F-4DDA-992F-873FB1B57F0B}" name=" " dataDxfId="4"/>
    <tableColumn id="2" xr3:uid="{3FE40DF8-5284-4353-986A-076E5D1262B5}" name="Bank" dataDxfId="3"/>
    <tableColumn id="3" xr3:uid="{8DCC39A3-B965-483B-8F8A-6428979BC4BC}" name="Developer" dataDxfId="2"/>
    <tableColumn id="4" xr3:uid="{926786EC-498B-4FFB-989C-B4B631BD169D}" name="Capital partner" dataDxfId="1"/>
    <tableColumn id="5" xr3:uid="{3F5DE7E5-8722-4CD0-8EFF-1C73FB0ECDA6}" name="Total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B2:H28"/>
  <sheetViews>
    <sheetView showGridLines="0" workbookViewId="0">
      <selection activeCell="B19" sqref="B19:B23"/>
    </sheetView>
  </sheetViews>
  <sheetFormatPr baseColWidth="10" defaultColWidth="10.83203125" defaultRowHeight="16" x14ac:dyDescent="0.2"/>
  <cols>
    <col min="2" max="2" width="20.5" customWidth="1"/>
    <col min="3" max="3" width="14.83203125" customWidth="1"/>
    <col min="4" max="4" width="17" customWidth="1"/>
    <col min="5" max="5" width="15.1640625" customWidth="1"/>
    <col min="6" max="6" width="18.5" customWidth="1"/>
    <col min="7" max="7" width="14.6640625" customWidth="1"/>
    <col min="8" max="8" width="13.83203125" customWidth="1"/>
  </cols>
  <sheetData>
    <row r="2" spans="2:8" x14ac:dyDescent="0.2">
      <c r="B2" t="s">
        <v>88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2:8" x14ac:dyDescent="0.2">
      <c r="B3" t="s">
        <v>0</v>
      </c>
      <c r="C3" s="3">
        <v>850000</v>
      </c>
      <c r="D3" s="3">
        <v>850000</v>
      </c>
      <c r="E3" s="3">
        <v>850000</v>
      </c>
      <c r="F3" s="3">
        <v>1400000</v>
      </c>
      <c r="G3" s="3">
        <v>1250000</v>
      </c>
      <c r="H3" s="3"/>
    </row>
    <row r="4" spans="2:8" x14ac:dyDescent="0.2">
      <c r="B4" t="s">
        <v>1</v>
      </c>
      <c r="C4" s="1">
        <v>45</v>
      </c>
      <c r="D4" s="1">
        <v>57.5</v>
      </c>
      <c r="E4" s="1">
        <v>45</v>
      </c>
      <c r="F4" s="1">
        <v>70</v>
      </c>
      <c r="G4" s="1">
        <v>65</v>
      </c>
      <c r="H4" s="1"/>
    </row>
    <row r="5" spans="2:8" x14ac:dyDescent="0.2">
      <c r="B5" t="s">
        <v>20</v>
      </c>
      <c r="C5" s="1">
        <f>C3*C4</f>
        <v>38250000</v>
      </c>
      <c r="D5" s="1">
        <f t="shared" ref="D5:G5" si="0">D3*D4</f>
        <v>48875000</v>
      </c>
      <c r="E5" s="1">
        <f t="shared" si="0"/>
        <v>38250000</v>
      </c>
      <c r="F5" s="1">
        <f t="shared" si="0"/>
        <v>98000000</v>
      </c>
      <c r="G5" s="1">
        <f t="shared" si="0"/>
        <v>81250000</v>
      </c>
      <c r="H5" s="1"/>
    </row>
    <row r="6" spans="2:8" x14ac:dyDescent="0.2">
      <c r="B6" t="s">
        <v>3</v>
      </c>
      <c r="C6" s="15">
        <v>0.05</v>
      </c>
      <c r="D6" s="15">
        <v>4.4999999999999998E-2</v>
      </c>
      <c r="E6" s="15">
        <v>6.5000000000000002E-2</v>
      </c>
      <c r="F6" s="15">
        <v>0.05</v>
      </c>
      <c r="G6" s="15">
        <v>5.2499999999999998E-2</v>
      </c>
      <c r="H6" s="2"/>
    </row>
    <row r="7" spans="2:8" x14ac:dyDescent="0.2">
      <c r="B7" t="s">
        <v>4</v>
      </c>
      <c r="C7" s="1">
        <f>C3*C4/C6</f>
        <v>765000000</v>
      </c>
      <c r="D7" s="1">
        <f>D3*D4/D6</f>
        <v>1086111111.1111112</v>
      </c>
      <c r="E7" s="1">
        <f>E3*E4/E6</f>
        <v>588461538.46153843</v>
      </c>
      <c r="F7" s="1">
        <f>F3*F4/F6</f>
        <v>1960000000</v>
      </c>
      <c r="G7" s="1">
        <f>G3*G4/G6</f>
        <v>1547619047.6190476</v>
      </c>
      <c r="H7" s="1"/>
    </row>
    <row r="8" spans="2:8" x14ac:dyDescent="0.2">
      <c r="B8" t="s">
        <v>2</v>
      </c>
      <c r="C8" s="1">
        <v>450</v>
      </c>
      <c r="D8" s="1">
        <v>475</v>
      </c>
      <c r="E8" s="1">
        <v>542</v>
      </c>
      <c r="F8" s="1">
        <v>575</v>
      </c>
      <c r="G8" s="1">
        <v>600</v>
      </c>
      <c r="H8" s="1"/>
    </row>
    <row r="9" spans="2:8" x14ac:dyDescent="0.2">
      <c r="B9" t="s">
        <v>6</v>
      </c>
      <c r="C9" s="1">
        <f>C3*C8*(1.25)</f>
        <v>478125000</v>
      </c>
      <c r="D9" s="1">
        <f>D3*D8*(1.25)</f>
        <v>504687500</v>
      </c>
      <c r="E9" s="1">
        <f>E3*E8*(1.25)</f>
        <v>575875000</v>
      </c>
      <c r="F9" s="1">
        <f>F3*F8*(1.25)</f>
        <v>1006250000</v>
      </c>
      <c r="G9" s="1">
        <f>G3*G8*(1.25)</f>
        <v>937500000</v>
      </c>
      <c r="H9" s="1"/>
    </row>
    <row r="10" spans="2:8" x14ac:dyDescent="0.2">
      <c r="B10" t="s">
        <v>5</v>
      </c>
      <c r="C10" s="1">
        <v>200000000</v>
      </c>
      <c r="D10" s="1">
        <v>200000000</v>
      </c>
      <c r="E10" s="1">
        <f>D10</f>
        <v>200000000</v>
      </c>
      <c r="F10" s="1">
        <v>300000000</v>
      </c>
      <c r="G10" s="1">
        <v>300000000</v>
      </c>
      <c r="H10" s="1"/>
    </row>
    <row r="11" spans="2:8" x14ac:dyDescent="0.2">
      <c r="B11" t="s">
        <v>7</v>
      </c>
      <c r="C11" s="1">
        <f>C7-(C9+C10)</f>
        <v>86875000</v>
      </c>
      <c r="D11" s="1">
        <f t="shared" ref="D11:G11" si="1">D7-(D9+D10)</f>
        <v>381423611.11111116</v>
      </c>
      <c r="E11" s="1">
        <f t="shared" si="1"/>
        <v>-187413461.53846157</v>
      </c>
      <c r="F11" s="1">
        <f t="shared" si="1"/>
        <v>653750000</v>
      </c>
      <c r="G11" s="1">
        <f t="shared" si="1"/>
        <v>310119047.61904764</v>
      </c>
      <c r="H11" s="1"/>
    </row>
    <row r="12" spans="2:8" x14ac:dyDescent="0.2">
      <c r="B12" t="s">
        <v>8</v>
      </c>
      <c r="C12" s="15">
        <f>(C11/(C10+C9))</f>
        <v>0.12811059907834102</v>
      </c>
      <c r="D12" s="15">
        <f t="shared" ref="D12:G12" si="2">(D11/(D10+D9))</f>
        <v>0.5412663217541267</v>
      </c>
      <c r="E12" s="15">
        <f t="shared" si="2"/>
        <v>-0.24155110235342234</v>
      </c>
      <c r="F12" s="15">
        <f t="shared" si="2"/>
        <v>0.50047846889952152</v>
      </c>
      <c r="G12" s="15">
        <f t="shared" si="2"/>
        <v>0.2506012506012506</v>
      </c>
      <c r="H12" s="2"/>
    </row>
    <row r="13" spans="2:8" x14ac:dyDescent="0.2">
      <c r="B13" t="s">
        <v>9</v>
      </c>
      <c r="C13" s="15">
        <f>(C3*C4)/(C9+C10)</f>
        <v>5.6405529953917052E-2</v>
      </c>
      <c r="D13" s="15">
        <f t="shared" ref="D13:G13" si="3">(D3*D4)/(D9+D10)</f>
        <v>6.9356984478935693E-2</v>
      </c>
      <c r="E13" s="15">
        <f t="shared" si="3"/>
        <v>4.9299178347027552E-2</v>
      </c>
      <c r="F13" s="15">
        <f t="shared" si="3"/>
        <v>7.5023923444976076E-2</v>
      </c>
      <c r="G13" s="15">
        <f t="shared" si="3"/>
        <v>6.5656565656565663E-2</v>
      </c>
      <c r="H13" s="2"/>
    </row>
    <row r="18" spans="2:3" ht="17" thickBot="1" x14ac:dyDescent="0.25">
      <c r="B18" s="14" t="s">
        <v>19</v>
      </c>
    </row>
    <row r="19" spans="2:3" x14ac:dyDescent="0.2">
      <c r="B19" s="5" t="s">
        <v>18</v>
      </c>
      <c r="C19" s="6">
        <f>E3*E4</f>
        <v>38250000</v>
      </c>
    </row>
    <row r="20" spans="2:3" x14ac:dyDescent="0.2">
      <c r="B20" s="7" t="s">
        <v>4</v>
      </c>
      <c r="C20" s="8">
        <f>C19/E6</f>
        <v>588461538.46153843</v>
      </c>
    </row>
    <row r="21" spans="2:3" x14ac:dyDescent="0.2">
      <c r="B21" s="7" t="s">
        <v>10</v>
      </c>
      <c r="C21" s="9">
        <f>E8*E3</f>
        <v>460700000</v>
      </c>
    </row>
    <row r="22" spans="2:3" x14ac:dyDescent="0.2">
      <c r="B22" s="7" t="s">
        <v>11</v>
      </c>
      <c r="C22" s="10">
        <f>C21*0.25</f>
        <v>115175000</v>
      </c>
    </row>
    <row r="23" spans="2:3" x14ac:dyDescent="0.2">
      <c r="B23" s="7" t="s">
        <v>12</v>
      </c>
      <c r="C23" s="9">
        <f>C21+C22</f>
        <v>575875000</v>
      </c>
    </row>
    <row r="24" spans="2:3" x14ac:dyDescent="0.2">
      <c r="B24" s="7" t="s">
        <v>13</v>
      </c>
      <c r="C24" s="8">
        <f>E10</f>
        <v>200000000</v>
      </c>
    </row>
    <row r="25" spans="2:3" x14ac:dyDescent="0.2">
      <c r="B25" s="7" t="s">
        <v>14</v>
      </c>
      <c r="C25" s="9">
        <f>C23+C24</f>
        <v>775875000</v>
      </c>
    </row>
    <row r="26" spans="2:3" x14ac:dyDescent="0.2">
      <c r="B26" s="7" t="s">
        <v>15</v>
      </c>
      <c r="C26" s="8">
        <f>C20-C25</f>
        <v>-187413461.53846157</v>
      </c>
    </row>
    <row r="27" spans="2:3" x14ac:dyDescent="0.2">
      <c r="B27" s="7" t="s">
        <v>16</v>
      </c>
      <c r="C27" s="11">
        <f>C26/C25</f>
        <v>-0.24155110235342234</v>
      </c>
    </row>
    <row r="28" spans="2:3" ht="17" thickBot="1" x14ac:dyDescent="0.25">
      <c r="B28" s="12" t="s">
        <v>17</v>
      </c>
      <c r="C28" s="13">
        <f>C19/C25</f>
        <v>4.9299178347027552E-2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C0CC8-7C44-134F-A319-F6FCA6585FA8}">
  <sheetPr>
    <tabColor theme="4" tint="0.59999389629810485"/>
  </sheetPr>
  <dimension ref="B1:L67"/>
  <sheetViews>
    <sheetView showGridLines="0" workbookViewId="0">
      <selection activeCell="B2" sqref="B2:C6"/>
    </sheetView>
  </sheetViews>
  <sheetFormatPr baseColWidth="10" defaultColWidth="11" defaultRowHeight="16" x14ac:dyDescent="0.2"/>
  <cols>
    <col min="2" max="2" width="33.83203125" customWidth="1"/>
    <col min="3" max="3" width="12.33203125" bestFit="1" customWidth="1"/>
    <col min="4" max="4" width="13.83203125" customWidth="1"/>
    <col min="6" max="6" width="20.6640625" bestFit="1" customWidth="1"/>
    <col min="7" max="7" width="15.83203125" customWidth="1"/>
    <col min="8" max="8" width="10" customWidth="1"/>
    <col min="9" max="9" width="18.83203125" customWidth="1"/>
    <col min="10" max="10" width="15.83203125" customWidth="1"/>
    <col min="11" max="11" width="17.1640625" customWidth="1"/>
    <col min="12" max="12" width="17.83203125" bestFit="1" customWidth="1"/>
    <col min="13" max="13" width="5.5" customWidth="1"/>
    <col min="14" max="14" width="17.5" bestFit="1" customWidth="1"/>
  </cols>
  <sheetData>
    <row r="1" spans="2:11" ht="17" thickBot="1" x14ac:dyDescent="0.25"/>
    <row r="2" spans="2:11" x14ac:dyDescent="0.2">
      <c r="B2" s="5" t="s">
        <v>21</v>
      </c>
      <c r="C2" s="46">
        <v>10000</v>
      </c>
      <c r="F2" s="58" t="s">
        <v>33</v>
      </c>
      <c r="G2" s="58" t="s">
        <v>34</v>
      </c>
      <c r="H2" s="58" t="s">
        <v>35</v>
      </c>
      <c r="I2" s="58" t="s">
        <v>36</v>
      </c>
      <c r="J2" s="58" t="s">
        <v>37</v>
      </c>
      <c r="K2" s="58" t="s">
        <v>38</v>
      </c>
    </row>
    <row r="3" spans="2:11" x14ac:dyDescent="0.2">
      <c r="B3" s="7" t="s">
        <v>1</v>
      </c>
      <c r="C3" s="53">
        <v>12</v>
      </c>
      <c r="F3" s="17">
        <v>0</v>
      </c>
      <c r="G3" s="17">
        <v>0</v>
      </c>
      <c r="H3" s="18">
        <f>D9/2</f>
        <v>10000</v>
      </c>
      <c r="I3" s="59"/>
      <c r="J3" s="59"/>
      <c r="K3" s="18">
        <f>G3-H3-I3-J3</f>
        <v>-10000</v>
      </c>
    </row>
    <row r="4" spans="2:11" x14ac:dyDescent="0.2">
      <c r="B4" s="7" t="s">
        <v>22</v>
      </c>
      <c r="C4" s="47">
        <f>C2*C3</f>
        <v>120000</v>
      </c>
      <c r="F4" s="17">
        <v>1</v>
      </c>
      <c r="G4" s="17">
        <v>0</v>
      </c>
      <c r="H4" s="18">
        <f>D9/2</f>
        <v>10000</v>
      </c>
      <c r="I4" s="18">
        <f>(D10+D11)/8</f>
        <v>140625</v>
      </c>
      <c r="J4" s="59"/>
      <c r="K4" s="18">
        <f t="shared" ref="K4:K10" si="0">G4-H4-I4-J4</f>
        <v>-150625</v>
      </c>
    </row>
    <row r="5" spans="2:11" x14ac:dyDescent="0.2">
      <c r="B5" s="7" t="s">
        <v>3</v>
      </c>
      <c r="C5" s="48">
        <v>0.05</v>
      </c>
      <c r="F5" s="17">
        <v>2</v>
      </c>
      <c r="G5" s="17">
        <v>0</v>
      </c>
      <c r="H5" s="59"/>
      <c r="I5" s="18">
        <f>I4</f>
        <v>140625</v>
      </c>
      <c r="J5" s="59"/>
      <c r="K5" s="18">
        <f t="shared" si="0"/>
        <v>-140625</v>
      </c>
    </row>
    <row r="6" spans="2:11" ht="17" thickBot="1" x14ac:dyDescent="0.25">
      <c r="B6" s="50" t="s">
        <v>23</v>
      </c>
      <c r="C6" s="51">
        <f>C4/C5</f>
        <v>2400000</v>
      </c>
      <c r="F6" s="17">
        <v>3</v>
      </c>
      <c r="G6" s="17">
        <v>0</v>
      </c>
      <c r="H6" s="59"/>
      <c r="I6" s="18">
        <f t="shared" ref="I6:I11" si="1">I5</f>
        <v>140625</v>
      </c>
      <c r="J6" s="59"/>
      <c r="K6" s="18">
        <f t="shared" si="0"/>
        <v>-140625</v>
      </c>
    </row>
    <row r="7" spans="2:11" ht="17" thickBot="1" x14ac:dyDescent="0.25">
      <c r="F7" s="17">
        <v>4</v>
      </c>
      <c r="G7" s="17">
        <v>0</v>
      </c>
      <c r="H7" s="59"/>
      <c r="I7" s="18">
        <f t="shared" si="1"/>
        <v>140625</v>
      </c>
      <c r="J7" s="59"/>
      <c r="K7" s="18">
        <f t="shared" si="0"/>
        <v>-140625</v>
      </c>
    </row>
    <row r="8" spans="2:11" x14ac:dyDescent="0.2">
      <c r="B8" s="5" t="s">
        <v>24</v>
      </c>
      <c r="C8" s="37"/>
      <c r="D8" s="38"/>
      <c r="F8" s="17">
        <v>5</v>
      </c>
      <c r="G8" s="17">
        <v>0</v>
      </c>
      <c r="H8" s="59"/>
      <c r="I8" s="18">
        <f t="shared" si="1"/>
        <v>140625</v>
      </c>
      <c r="J8" s="59"/>
      <c r="K8" s="18">
        <f t="shared" si="0"/>
        <v>-140625</v>
      </c>
    </row>
    <row r="9" spans="2:11" x14ac:dyDescent="0.2">
      <c r="B9" s="7" t="s">
        <v>25</v>
      </c>
      <c r="C9" s="39"/>
      <c r="D9" s="54">
        <v>20000</v>
      </c>
      <c r="F9" s="17">
        <v>6</v>
      </c>
      <c r="G9" s="17">
        <v>0</v>
      </c>
      <c r="H9" s="59"/>
      <c r="I9" s="18">
        <f t="shared" si="1"/>
        <v>140625</v>
      </c>
      <c r="J9" s="59"/>
      <c r="K9" s="18">
        <f t="shared" si="0"/>
        <v>-140625</v>
      </c>
    </row>
    <row r="10" spans="2:11" x14ac:dyDescent="0.2">
      <c r="B10" s="7" t="s">
        <v>26</v>
      </c>
      <c r="C10" s="45">
        <v>100</v>
      </c>
      <c r="D10" s="55">
        <f>C10*C2</f>
        <v>1000000</v>
      </c>
      <c r="F10" s="17">
        <v>7</v>
      </c>
      <c r="G10" s="17">
        <v>0</v>
      </c>
      <c r="H10" s="59"/>
      <c r="I10" s="18">
        <f t="shared" si="1"/>
        <v>140625</v>
      </c>
      <c r="J10" s="59"/>
      <c r="K10" s="18">
        <f t="shared" si="0"/>
        <v>-140625</v>
      </c>
    </row>
    <row r="11" spans="2:11" ht="17" thickBot="1" x14ac:dyDescent="0.25">
      <c r="B11" s="12" t="s">
        <v>27</v>
      </c>
      <c r="C11" s="56">
        <v>0.125</v>
      </c>
      <c r="D11" s="57">
        <f>C11*D10</f>
        <v>125000</v>
      </c>
      <c r="F11" s="19">
        <v>8</v>
      </c>
      <c r="G11" s="20">
        <f>C6</f>
        <v>2400000</v>
      </c>
      <c r="H11" s="60"/>
      <c r="I11" s="20">
        <f t="shared" si="1"/>
        <v>140625</v>
      </c>
      <c r="J11" s="61">
        <f>D17+D15</f>
        <v>295000</v>
      </c>
      <c r="K11" s="20">
        <f>G11-H11-I11-J11</f>
        <v>1964375</v>
      </c>
    </row>
    <row r="12" spans="2:11" x14ac:dyDescent="0.2">
      <c r="D12" s="4">
        <f>D10+D11+D9</f>
        <v>1145000</v>
      </c>
      <c r="E12" s="1"/>
    </row>
    <row r="13" spans="2:11" ht="17" thickBot="1" x14ac:dyDescent="0.25">
      <c r="D13" s="1"/>
      <c r="E13" s="1"/>
    </row>
    <row r="14" spans="2:11" x14ac:dyDescent="0.2">
      <c r="B14" s="5" t="s">
        <v>28</v>
      </c>
      <c r="C14" s="37">
        <v>0.05</v>
      </c>
      <c r="D14" s="38">
        <f>C14*(D10+D11)</f>
        <v>56250</v>
      </c>
    </row>
    <row r="15" spans="2:11" x14ac:dyDescent="0.2">
      <c r="B15" s="7" t="s">
        <v>64</v>
      </c>
      <c r="C15" s="39"/>
      <c r="D15" s="40">
        <v>55000</v>
      </c>
    </row>
    <row r="16" spans="2:11" x14ac:dyDescent="0.2">
      <c r="B16" s="7" t="s">
        <v>65</v>
      </c>
      <c r="C16" s="41"/>
      <c r="D16" s="42">
        <f>D10+D11+D15+D9</f>
        <v>1200000</v>
      </c>
    </row>
    <row r="17" spans="2:12" x14ac:dyDescent="0.2">
      <c r="B17" s="7" t="s">
        <v>29</v>
      </c>
      <c r="C17" s="39">
        <v>0.2</v>
      </c>
      <c r="D17" s="40">
        <f>C17*D16</f>
        <v>240000</v>
      </c>
    </row>
    <row r="18" spans="2:12" ht="17" thickBot="1" x14ac:dyDescent="0.25">
      <c r="B18" s="12" t="s">
        <v>30</v>
      </c>
      <c r="C18" s="43"/>
      <c r="D18" s="44">
        <f>D16+D17</f>
        <v>1440000</v>
      </c>
    </row>
    <row r="19" spans="2:12" ht="17" thickBot="1" x14ac:dyDescent="0.25"/>
    <row r="20" spans="2:12" x14ac:dyDescent="0.2">
      <c r="B20" s="5" t="s">
        <v>23</v>
      </c>
      <c r="C20" s="46">
        <f>C6</f>
        <v>2400000</v>
      </c>
    </row>
    <row r="21" spans="2:12" x14ac:dyDescent="0.2">
      <c r="B21" s="7" t="s">
        <v>31</v>
      </c>
      <c r="C21" s="73">
        <f>D18</f>
        <v>1440000</v>
      </c>
    </row>
    <row r="22" spans="2:12" ht="17" thickBot="1" x14ac:dyDescent="0.25">
      <c r="B22" s="12" t="s">
        <v>32</v>
      </c>
      <c r="C22" s="49">
        <f>C20-C21</f>
        <v>960000</v>
      </c>
    </row>
    <row r="23" spans="2:12" ht="17" thickBot="1" x14ac:dyDescent="0.25"/>
    <row r="24" spans="2:12" ht="17" thickBot="1" x14ac:dyDescent="0.25">
      <c r="B24" s="5" t="s">
        <v>70</v>
      </c>
      <c r="C24" s="46">
        <f>H33</f>
        <v>856417.46053862944</v>
      </c>
      <c r="E24" s="16" t="s">
        <v>33</v>
      </c>
      <c r="F24" s="16" t="s">
        <v>38</v>
      </c>
      <c r="G24" s="16" t="s">
        <v>57</v>
      </c>
      <c r="H24" s="16" t="s">
        <v>58</v>
      </c>
    </row>
    <row r="25" spans="2:12" ht="17" thickBot="1" x14ac:dyDescent="0.25">
      <c r="B25" s="7" t="s">
        <v>76</v>
      </c>
      <c r="C25" s="52">
        <f>1/(1+0.1)^2</f>
        <v>0.82644628099173545</v>
      </c>
      <c r="E25" s="17">
        <v>0</v>
      </c>
      <c r="F25" s="18">
        <f t="shared" ref="F25:F33" si="2">K3</f>
        <v>-10000</v>
      </c>
      <c r="G25" s="17">
        <v>0</v>
      </c>
      <c r="H25" s="18">
        <v>-10000</v>
      </c>
      <c r="J25" s="34" t="s">
        <v>67</v>
      </c>
      <c r="K25" s="35">
        <f>(1.1)^(1/4)-1</f>
        <v>2.4113689084445111E-2</v>
      </c>
      <c r="L25" s="36" t="s">
        <v>66</v>
      </c>
    </row>
    <row r="26" spans="2:12" x14ac:dyDescent="0.2">
      <c r="B26" s="7" t="s">
        <v>72</v>
      </c>
      <c r="C26" s="47">
        <f>C24*C25</f>
        <v>707783.02523853665</v>
      </c>
      <c r="E26" s="17">
        <v>1</v>
      </c>
      <c r="F26" s="18">
        <f t="shared" si="2"/>
        <v>-150625</v>
      </c>
      <c r="G26" s="18">
        <f t="shared" ref="G26:G33" si="3">H25*$K$25</f>
        <v>-241.1368908444511</v>
      </c>
      <c r="H26" s="18">
        <f t="shared" ref="H26:H33" si="4">H25+G26+F26</f>
        <v>-160866.13689084444</v>
      </c>
    </row>
    <row r="27" spans="2:12" x14ac:dyDescent="0.2">
      <c r="B27" s="7" t="s">
        <v>75</v>
      </c>
      <c r="C27" s="48">
        <v>0.05</v>
      </c>
      <c r="E27" s="17">
        <v>2</v>
      </c>
      <c r="F27" s="18">
        <f t="shared" si="2"/>
        <v>-140625</v>
      </c>
      <c r="G27" s="18">
        <f t="shared" si="3"/>
        <v>-3879.0760092016085</v>
      </c>
      <c r="H27" s="18">
        <f t="shared" si="4"/>
        <v>-305370.21290004603</v>
      </c>
    </row>
    <row r="28" spans="2:12" ht="17" thickBot="1" x14ac:dyDescent="0.25">
      <c r="B28" s="50" t="s">
        <v>73</v>
      </c>
      <c r="C28" s="51">
        <f>C26/(1+C27)</f>
        <v>674079.07165574911</v>
      </c>
      <c r="E28" s="17">
        <v>3</v>
      </c>
      <c r="F28" s="18">
        <f t="shared" si="2"/>
        <v>-140625</v>
      </c>
      <c r="G28" s="18">
        <f t="shared" si="3"/>
        <v>-7363.6023695225194</v>
      </c>
      <c r="H28" s="18">
        <f t="shared" si="4"/>
        <v>-453358.81526956853</v>
      </c>
    </row>
    <row r="29" spans="2:12" x14ac:dyDescent="0.2">
      <c r="E29" s="17">
        <v>4</v>
      </c>
      <c r="F29" s="18">
        <f t="shared" si="2"/>
        <v>-140625</v>
      </c>
      <c r="G29" s="18">
        <f t="shared" si="3"/>
        <v>-10932.153515102762</v>
      </c>
      <c r="H29" s="18">
        <f t="shared" si="4"/>
        <v>-604915.96878467128</v>
      </c>
    </row>
    <row r="30" spans="2:12" x14ac:dyDescent="0.2">
      <c r="E30" s="17">
        <v>5</v>
      </c>
      <c r="F30" s="18">
        <f t="shared" si="2"/>
        <v>-140625</v>
      </c>
      <c r="G30" s="18">
        <f t="shared" si="3"/>
        <v>-14586.755593489468</v>
      </c>
      <c r="H30" s="18">
        <f t="shared" si="4"/>
        <v>-760127.72437816078</v>
      </c>
    </row>
    <row r="31" spans="2:12" x14ac:dyDescent="0.2">
      <c r="E31" s="17">
        <v>6</v>
      </c>
      <c r="F31" s="18">
        <f t="shared" si="2"/>
        <v>-140625</v>
      </c>
      <c r="G31" s="18">
        <f t="shared" si="3"/>
        <v>-18329.483610121759</v>
      </c>
      <c r="H31" s="18">
        <f t="shared" si="4"/>
        <v>-919082.20798828255</v>
      </c>
    </row>
    <row r="32" spans="2:12" x14ac:dyDescent="0.2">
      <c r="E32" s="17">
        <v>7</v>
      </c>
      <c r="F32" s="18">
        <f t="shared" si="2"/>
        <v>-140625</v>
      </c>
      <c r="G32" s="18">
        <f t="shared" si="3"/>
        <v>-22162.462606474761</v>
      </c>
      <c r="H32" s="18">
        <f t="shared" si="4"/>
        <v>-1081869.6705947574</v>
      </c>
    </row>
    <row r="33" spans="2:12" x14ac:dyDescent="0.2">
      <c r="E33" s="19">
        <v>8</v>
      </c>
      <c r="F33" s="20">
        <f t="shared" si="2"/>
        <v>1964375</v>
      </c>
      <c r="G33" s="20">
        <f t="shared" si="3"/>
        <v>-26087.868866613029</v>
      </c>
      <c r="H33" s="20">
        <f t="shared" si="4"/>
        <v>856417.46053862944</v>
      </c>
    </row>
    <row r="34" spans="2:12" ht="17" thickBot="1" x14ac:dyDescent="0.25"/>
    <row r="35" spans="2:12" ht="17" thickBot="1" x14ac:dyDescent="0.25">
      <c r="B35" s="5" t="s">
        <v>70</v>
      </c>
      <c r="C35" s="46">
        <f>H44</f>
        <v>750052.40848063142</v>
      </c>
      <c r="E35" s="21" t="s">
        <v>33</v>
      </c>
      <c r="F35" s="22" t="s">
        <v>38</v>
      </c>
      <c r="G35" s="22" t="s">
        <v>59</v>
      </c>
      <c r="H35" s="23" t="s">
        <v>58</v>
      </c>
    </row>
    <row r="36" spans="2:12" ht="17" thickBot="1" x14ac:dyDescent="0.25">
      <c r="B36" s="7" t="s">
        <v>74</v>
      </c>
      <c r="C36" s="52">
        <f>1/(1+0.2)^2</f>
        <v>0.69444444444444442</v>
      </c>
      <c r="E36" s="24">
        <v>0</v>
      </c>
      <c r="F36" s="25">
        <f t="shared" ref="F36:F44" si="5">K3</f>
        <v>-10000</v>
      </c>
      <c r="G36" s="26">
        <v>0</v>
      </c>
      <c r="H36" s="27">
        <v>-10000</v>
      </c>
      <c r="J36" s="34" t="s">
        <v>68</v>
      </c>
      <c r="K36" s="35">
        <f>(1.2)^(1/4)-1</f>
        <v>4.6635139392105618E-2</v>
      </c>
      <c r="L36" s="36" t="s">
        <v>66</v>
      </c>
    </row>
    <row r="37" spans="2:12" x14ac:dyDescent="0.2">
      <c r="B37" s="7" t="s">
        <v>72</v>
      </c>
      <c r="C37" s="47">
        <f>C35*C36</f>
        <v>520869.72811154957</v>
      </c>
      <c r="E37" s="28">
        <v>1</v>
      </c>
      <c r="F37" s="29">
        <f t="shared" si="5"/>
        <v>-150625</v>
      </c>
      <c r="G37" s="29">
        <f t="shared" ref="G37:G44" si="6">H36*$K$36</f>
        <v>-466.35139392105617</v>
      </c>
      <c r="H37" s="30">
        <f t="shared" ref="H37:H44" si="7">H36+G37+F37</f>
        <v>-161091.35139392107</v>
      </c>
    </row>
    <row r="38" spans="2:12" x14ac:dyDescent="0.2">
      <c r="B38" s="7" t="s">
        <v>75</v>
      </c>
      <c r="C38" s="48">
        <v>0.05</v>
      </c>
      <c r="E38" s="24">
        <v>2</v>
      </c>
      <c r="F38" s="25">
        <f t="shared" si="5"/>
        <v>-140625</v>
      </c>
      <c r="G38" s="25">
        <f t="shared" si="6"/>
        <v>-7512.5176271181763</v>
      </c>
      <c r="H38" s="27">
        <f t="shared" si="7"/>
        <v>-309228.86902103922</v>
      </c>
    </row>
    <row r="39" spans="2:12" ht="17" thickBot="1" x14ac:dyDescent="0.25">
      <c r="B39" s="50" t="s">
        <v>73</v>
      </c>
      <c r="C39" s="51">
        <f>C37/(1+C38)</f>
        <v>496066.40772528527</v>
      </c>
      <c r="E39" s="28">
        <v>3</v>
      </c>
      <c r="F39" s="29">
        <f t="shared" si="5"/>
        <v>-140625</v>
      </c>
      <c r="G39" s="29">
        <f t="shared" si="6"/>
        <v>-14420.931410859335</v>
      </c>
      <c r="H39" s="30">
        <f t="shared" si="7"/>
        <v>-464274.80043189856</v>
      </c>
    </row>
    <row r="40" spans="2:12" x14ac:dyDescent="0.2">
      <c r="E40" s="24">
        <v>4</v>
      </c>
      <c r="F40" s="25">
        <f t="shared" si="5"/>
        <v>-140625</v>
      </c>
      <c r="G40" s="25">
        <f t="shared" si="6"/>
        <v>-21651.520034383608</v>
      </c>
      <c r="H40" s="27">
        <f t="shared" si="7"/>
        <v>-626551.3204662822</v>
      </c>
    </row>
    <row r="41" spans="2:12" x14ac:dyDescent="0.2">
      <c r="E41" s="28">
        <v>5</v>
      </c>
      <c r="F41" s="29">
        <f t="shared" si="5"/>
        <v>-140625</v>
      </c>
      <c r="G41" s="29">
        <f t="shared" si="6"/>
        <v>-29219.308166252908</v>
      </c>
      <c r="H41" s="30">
        <f t="shared" si="7"/>
        <v>-796395.62863253511</v>
      </c>
    </row>
    <row r="42" spans="2:12" x14ac:dyDescent="0.2">
      <c r="E42" s="24">
        <v>6</v>
      </c>
      <c r="F42" s="25">
        <f t="shared" si="5"/>
        <v>-140625</v>
      </c>
      <c r="G42" s="25">
        <f t="shared" si="6"/>
        <v>-37140.021152541856</v>
      </c>
      <c r="H42" s="27">
        <f t="shared" si="7"/>
        <v>-974160.64978507697</v>
      </c>
    </row>
    <row r="43" spans="2:12" x14ac:dyDescent="0.2">
      <c r="E43" s="28">
        <v>7</v>
      </c>
      <c r="F43" s="29">
        <f t="shared" si="5"/>
        <v>-140625</v>
      </c>
      <c r="G43" s="29">
        <f t="shared" si="6"/>
        <v>-45430.11769303125</v>
      </c>
      <c r="H43" s="30">
        <f t="shared" si="7"/>
        <v>-1160215.7674781082</v>
      </c>
    </row>
    <row r="44" spans="2:12" ht="17" thickBot="1" x14ac:dyDescent="0.25">
      <c r="E44" s="31">
        <v>8</v>
      </c>
      <c r="F44" s="32">
        <f t="shared" si="5"/>
        <v>1964375</v>
      </c>
      <c r="G44" s="32">
        <f t="shared" si="6"/>
        <v>-54106.824041260377</v>
      </c>
      <c r="H44" s="33">
        <f t="shared" si="7"/>
        <v>750052.40848063142</v>
      </c>
    </row>
    <row r="45" spans="2:12" ht="17" thickBot="1" x14ac:dyDescent="0.25"/>
    <row r="46" spans="2:12" ht="17" thickBot="1" x14ac:dyDescent="0.25">
      <c r="B46" s="5" t="s">
        <v>70</v>
      </c>
      <c r="C46" s="46">
        <f>H55</f>
        <v>803581.83677876403</v>
      </c>
      <c r="E46" s="21" t="s">
        <v>33</v>
      </c>
      <c r="F46" s="22" t="s">
        <v>38</v>
      </c>
      <c r="G46" s="22" t="s">
        <v>60</v>
      </c>
      <c r="H46" s="23" t="s">
        <v>58</v>
      </c>
    </row>
    <row r="47" spans="2:12" ht="17" thickBot="1" x14ac:dyDescent="0.25">
      <c r="B47" s="7" t="s">
        <v>71</v>
      </c>
      <c r="C47" s="52">
        <f>1/(1+0.15)^2</f>
        <v>0.7561436672967865</v>
      </c>
      <c r="E47" s="24">
        <v>0</v>
      </c>
      <c r="F47" s="25">
        <f t="shared" ref="F47:F55" si="8">K3</f>
        <v>-10000</v>
      </c>
      <c r="G47" s="26">
        <v>0</v>
      </c>
      <c r="H47" s="27">
        <f>K3</f>
        <v>-10000</v>
      </c>
      <c r="J47" s="34" t="s">
        <v>69</v>
      </c>
      <c r="K47" s="35">
        <f>(1.15)^(1/4)-1</f>
        <v>3.5558076341622114E-2</v>
      </c>
      <c r="L47" s="36" t="s">
        <v>66</v>
      </c>
    </row>
    <row r="48" spans="2:12" x14ac:dyDescent="0.2">
      <c r="B48" s="7" t="s">
        <v>72</v>
      </c>
      <c r="C48" s="47">
        <f>C46*C47</f>
        <v>607623.31703498238</v>
      </c>
      <c r="E48" s="28">
        <v>1</v>
      </c>
      <c r="F48" s="29">
        <f t="shared" si="8"/>
        <v>-150625</v>
      </c>
      <c r="G48" s="29">
        <f t="shared" ref="G48:G55" si="9">H47*$K$47</f>
        <v>-355.58076341622115</v>
      </c>
      <c r="H48" s="30">
        <f t="shared" ref="H48:H55" si="10">H47+F48+G48</f>
        <v>-160980.58076341622</v>
      </c>
    </row>
    <row r="49" spans="2:8" x14ac:dyDescent="0.2">
      <c r="B49" s="7" t="s">
        <v>75</v>
      </c>
      <c r="C49" s="48">
        <v>0.05</v>
      </c>
      <c r="E49" s="24">
        <v>2</v>
      </c>
      <c r="F49" s="25">
        <f t="shared" si="8"/>
        <v>-140625</v>
      </c>
      <c r="G49" s="25">
        <f t="shared" si="9"/>
        <v>-5724.1597803042177</v>
      </c>
      <c r="H49" s="27">
        <f t="shared" si="10"/>
        <v>-307329.74054372049</v>
      </c>
    </row>
    <row r="50" spans="2:8" ht="17" thickBot="1" x14ac:dyDescent="0.25">
      <c r="B50" s="50" t="s">
        <v>73</v>
      </c>
      <c r="C50" s="51">
        <f>C48/(1+C49)</f>
        <v>578688.87336664984</v>
      </c>
      <c r="E50" s="28">
        <v>3</v>
      </c>
      <c r="F50" s="29">
        <f t="shared" si="8"/>
        <v>-140625</v>
      </c>
      <c r="G50" s="29">
        <f t="shared" si="9"/>
        <v>-10928.05437630453</v>
      </c>
      <c r="H50" s="30">
        <f t="shared" si="10"/>
        <v>-458882.79492002504</v>
      </c>
    </row>
    <row r="51" spans="2:8" x14ac:dyDescent="0.2">
      <c r="E51" s="24">
        <v>4</v>
      </c>
      <c r="F51" s="25">
        <f t="shared" si="8"/>
        <v>-140625</v>
      </c>
      <c r="G51" s="25">
        <f t="shared" si="9"/>
        <v>-16316.989453623175</v>
      </c>
      <c r="H51" s="27">
        <f t="shared" si="10"/>
        <v>-615824.78437364823</v>
      </c>
    </row>
    <row r="52" spans="2:8" x14ac:dyDescent="0.2">
      <c r="E52" s="28">
        <v>5</v>
      </c>
      <c r="F52" s="29">
        <f t="shared" si="8"/>
        <v>-140625</v>
      </c>
      <c r="G52" s="29">
        <f t="shared" si="9"/>
        <v>-21897.544695821161</v>
      </c>
      <c r="H52" s="30">
        <f t="shared" si="10"/>
        <v>-778347.32906946936</v>
      </c>
    </row>
    <row r="53" spans="2:8" x14ac:dyDescent="0.2">
      <c r="E53" s="24">
        <v>6</v>
      </c>
      <c r="F53" s="25">
        <f t="shared" si="8"/>
        <v>-140625</v>
      </c>
      <c r="G53" s="25">
        <f t="shared" si="9"/>
        <v>-27676.533747349858</v>
      </c>
      <c r="H53" s="27">
        <f t="shared" si="10"/>
        <v>-946648.86281681922</v>
      </c>
    </row>
    <row r="54" spans="2:8" x14ac:dyDescent="0.2">
      <c r="E54" s="28">
        <v>7</v>
      </c>
      <c r="F54" s="29">
        <f t="shared" si="8"/>
        <v>-140625</v>
      </c>
      <c r="G54" s="29">
        <f t="shared" si="9"/>
        <v>-33661.012532750217</v>
      </c>
      <c r="H54" s="30">
        <f t="shared" si="10"/>
        <v>-1120934.8753495694</v>
      </c>
    </row>
    <row r="55" spans="2:8" ht="17" thickBot="1" x14ac:dyDescent="0.25">
      <c r="E55" s="31">
        <v>8</v>
      </c>
      <c r="F55" s="32">
        <f t="shared" si="8"/>
        <v>1964375</v>
      </c>
      <c r="G55" s="32">
        <f t="shared" si="9"/>
        <v>-39858.287871666653</v>
      </c>
      <c r="H55" s="33">
        <f t="shared" si="10"/>
        <v>803581.83677876403</v>
      </c>
    </row>
    <row r="57" spans="2:8" x14ac:dyDescent="0.2">
      <c r="E57" s="70" t="s">
        <v>33</v>
      </c>
      <c r="F57" s="71" t="s">
        <v>38</v>
      </c>
      <c r="G57" s="71" t="s">
        <v>61</v>
      </c>
      <c r="H57" s="72" t="s">
        <v>62</v>
      </c>
    </row>
    <row r="58" spans="2:8" x14ac:dyDescent="0.2">
      <c r="E58" s="62">
        <v>0</v>
      </c>
      <c r="F58" s="63">
        <f>-C50*(1+C49)+F47</f>
        <v>-617623.31703498238</v>
      </c>
      <c r="G58" s="64">
        <f t="shared" ref="G58:G66" si="11">1/(1+$K$47)^E58</f>
        <v>1</v>
      </c>
      <c r="H58" s="65">
        <f>F58*G58</f>
        <v>-617623.31703498238</v>
      </c>
    </row>
    <row r="59" spans="2:8" x14ac:dyDescent="0.2">
      <c r="E59" s="62">
        <v>1</v>
      </c>
      <c r="F59" s="63">
        <f t="shared" ref="F59:F66" si="12">F48</f>
        <v>-150625</v>
      </c>
      <c r="G59" s="64">
        <f t="shared" si="11"/>
        <v>0.96566288540065248</v>
      </c>
      <c r="H59" s="65">
        <f t="shared" ref="H59:H66" si="13">F59*G59</f>
        <v>-145452.97211347328</v>
      </c>
    </row>
    <row r="60" spans="2:8" x14ac:dyDescent="0.2">
      <c r="E60" s="62">
        <v>2</v>
      </c>
      <c r="F60" s="63">
        <f t="shared" si="12"/>
        <v>-140625</v>
      </c>
      <c r="G60" s="64">
        <f t="shared" si="11"/>
        <v>0.93250480824031379</v>
      </c>
      <c r="H60" s="65">
        <f t="shared" si="13"/>
        <v>-131133.48865879411</v>
      </c>
    </row>
    <row r="61" spans="2:8" x14ac:dyDescent="0.2">
      <c r="E61" s="62">
        <v>3</v>
      </c>
      <c r="F61" s="63">
        <f t="shared" si="12"/>
        <v>-140625</v>
      </c>
      <c r="G61" s="64">
        <f t="shared" si="11"/>
        <v>0.90048528377532355</v>
      </c>
      <c r="H61" s="65">
        <f t="shared" si="13"/>
        <v>-126630.74303090488</v>
      </c>
    </row>
    <row r="62" spans="2:8" x14ac:dyDescent="0.2">
      <c r="E62" s="62">
        <v>4</v>
      </c>
      <c r="F62" s="63">
        <f t="shared" si="12"/>
        <v>-140625</v>
      </c>
      <c r="G62" s="64">
        <f t="shared" si="11"/>
        <v>0.86956521739130421</v>
      </c>
      <c r="H62" s="65">
        <f t="shared" si="13"/>
        <v>-122282.60869565216</v>
      </c>
    </row>
    <row r="63" spans="2:8" x14ac:dyDescent="0.2">
      <c r="E63" s="62">
        <v>5</v>
      </c>
      <c r="F63" s="63">
        <f t="shared" si="12"/>
        <v>-140625</v>
      </c>
      <c r="G63" s="64">
        <f t="shared" si="11"/>
        <v>0.83970685687013258</v>
      </c>
      <c r="H63" s="65">
        <f t="shared" si="13"/>
        <v>-118083.7767473624</v>
      </c>
    </row>
    <row r="64" spans="2:8" x14ac:dyDescent="0.2">
      <c r="E64" s="62">
        <v>6</v>
      </c>
      <c r="F64" s="63">
        <f t="shared" si="12"/>
        <v>-140625</v>
      </c>
      <c r="G64" s="64">
        <f t="shared" si="11"/>
        <v>0.8108737462959249</v>
      </c>
      <c r="H64" s="65">
        <f t="shared" si="13"/>
        <v>-114029.12057286444</v>
      </c>
    </row>
    <row r="65" spans="5:8" x14ac:dyDescent="0.2">
      <c r="E65" s="62">
        <v>7</v>
      </c>
      <c r="F65" s="63">
        <f t="shared" si="12"/>
        <v>-140625</v>
      </c>
      <c r="G65" s="64">
        <f t="shared" si="11"/>
        <v>0.78303068154375954</v>
      </c>
      <c r="H65" s="65">
        <f t="shared" si="13"/>
        <v>-110113.68959209119</v>
      </c>
    </row>
    <row r="66" spans="5:8" x14ac:dyDescent="0.2">
      <c r="E66" s="62">
        <v>8</v>
      </c>
      <c r="F66" s="63">
        <f t="shared" si="12"/>
        <v>1964375</v>
      </c>
      <c r="G66" s="64">
        <f t="shared" si="11"/>
        <v>0.75614366729678628</v>
      </c>
      <c r="H66" s="65">
        <f t="shared" si="13"/>
        <v>1485349.7164461245</v>
      </c>
    </row>
    <row r="67" spans="5:8" x14ac:dyDescent="0.2">
      <c r="E67" s="66"/>
      <c r="F67" s="67" t="s">
        <v>63</v>
      </c>
      <c r="G67" s="68"/>
      <c r="H67" s="69">
        <f>SUM(H58:H66)</f>
        <v>0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31735-3BB3-F543-968A-EA39D8C6F4F3}">
  <sheetPr>
    <tabColor theme="4" tint="0.59999389629810485"/>
  </sheetPr>
  <dimension ref="B1:F32"/>
  <sheetViews>
    <sheetView showGridLines="0" tabSelected="1" workbookViewId="0">
      <selection activeCell="C25" sqref="C25:C32"/>
    </sheetView>
  </sheetViews>
  <sheetFormatPr baseColWidth="10" defaultColWidth="11" defaultRowHeight="16" x14ac:dyDescent="0.2"/>
  <cols>
    <col min="2" max="2" width="25.1640625" bestFit="1" customWidth="1"/>
    <col min="4" max="4" width="11.5" customWidth="1"/>
    <col min="5" max="5" width="15.33203125" customWidth="1"/>
  </cols>
  <sheetData>
    <row r="1" spans="2:6" ht="17" thickBot="1" x14ac:dyDescent="0.25"/>
    <row r="2" spans="2:6" x14ac:dyDescent="0.2">
      <c r="B2" s="5" t="s">
        <v>39</v>
      </c>
      <c r="C2" s="74">
        <v>70</v>
      </c>
    </row>
    <row r="3" spans="2:6" x14ac:dyDescent="0.2">
      <c r="B3" s="7" t="s">
        <v>40</v>
      </c>
      <c r="C3" s="53">
        <v>35</v>
      </c>
    </row>
    <row r="4" spans="2:6" x14ac:dyDescent="0.2">
      <c r="B4" s="7" t="s">
        <v>41</v>
      </c>
      <c r="C4" s="75">
        <v>5</v>
      </c>
    </row>
    <row r="5" spans="2:6" x14ac:dyDescent="0.2">
      <c r="B5" s="7" t="s">
        <v>42</v>
      </c>
      <c r="C5" s="53">
        <v>30</v>
      </c>
    </row>
    <row r="6" spans="2:6" x14ac:dyDescent="0.2">
      <c r="B6" s="7" t="s">
        <v>43</v>
      </c>
      <c r="C6" s="75">
        <f>C4+C5</f>
        <v>35</v>
      </c>
    </row>
    <row r="7" spans="2:6" x14ac:dyDescent="0.2">
      <c r="B7" s="7" t="s">
        <v>44</v>
      </c>
      <c r="C7" s="75">
        <v>85</v>
      </c>
    </row>
    <row r="8" spans="2:6" ht="17" thickBot="1" x14ac:dyDescent="0.25">
      <c r="B8" s="12" t="s">
        <v>7</v>
      </c>
      <c r="C8" s="76">
        <f>C7-C2</f>
        <v>15</v>
      </c>
    </row>
    <row r="10" spans="2:6" ht="17" x14ac:dyDescent="0.2">
      <c r="B10" s="77" t="s">
        <v>88</v>
      </c>
      <c r="C10" s="89" t="s">
        <v>45</v>
      </c>
      <c r="D10" s="90" t="s">
        <v>46</v>
      </c>
      <c r="E10" s="90" t="s">
        <v>47</v>
      </c>
      <c r="F10" s="90" t="s">
        <v>48</v>
      </c>
    </row>
    <row r="11" spans="2:6" x14ac:dyDescent="0.2">
      <c r="B11" s="78" t="s">
        <v>49</v>
      </c>
      <c r="C11" s="79">
        <v>35</v>
      </c>
      <c r="D11" s="17">
        <v>5</v>
      </c>
      <c r="E11" s="17">
        <v>30</v>
      </c>
      <c r="F11" s="17">
        <v>70</v>
      </c>
    </row>
    <row r="12" spans="2:6" x14ac:dyDescent="0.2">
      <c r="B12" s="80"/>
      <c r="C12" s="79"/>
      <c r="D12" s="81">
        <f>D11/(D11+E11)</f>
        <v>0.14285714285714285</v>
      </c>
      <c r="E12" s="81">
        <f>E11/(D11+E11)</f>
        <v>0.8571428571428571</v>
      </c>
      <c r="F12" s="82">
        <f>D12+E12</f>
        <v>1</v>
      </c>
    </row>
    <row r="13" spans="2:6" x14ac:dyDescent="0.2">
      <c r="B13" s="83" t="s">
        <v>44</v>
      </c>
      <c r="C13" s="84"/>
      <c r="D13" s="85"/>
      <c r="E13" s="85"/>
      <c r="F13" s="85">
        <v>85</v>
      </c>
    </row>
    <row r="14" spans="2:6" x14ac:dyDescent="0.2">
      <c r="B14" s="83" t="s">
        <v>50</v>
      </c>
      <c r="C14" s="84">
        <v>35</v>
      </c>
      <c r="D14" s="85">
        <v>5</v>
      </c>
      <c r="E14" s="85">
        <v>30</v>
      </c>
      <c r="F14" s="85">
        <v>70</v>
      </c>
    </row>
    <row r="15" spans="2:6" x14ac:dyDescent="0.2">
      <c r="B15" s="83" t="s">
        <v>81</v>
      </c>
      <c r="C15" s="84"/>
      <c r="D15" s="85"/>
      <c r="E15" s="85"/>
      <c r="F15" s="85">
        <v>2</v>
      </c>
    </row>
    <row r="16" spans="2:6" x14ac:dyDescent="0.2">
      <c r="B16" s="83" t="s">
        <v>7</v>
      </c>
      <c r="C16" s="84"/>
      <c r="D16" s="85"/>
      <c r="E16" s="85"/>
      <c r="F16" s="85">
        <f>F13-F15-F14</f>
        <v>13</v>
      </c>
    </row>
    <row r="17" spans="2:6" x14ac:dyDescent="0.2">
      <c r="B17" s="83" t="s">
        <v>51</v>
      </c>
      <c r="C17" s="84"/>
      <c r="D17" s="85">
        <f>F17*0.25</f>
        <v>1.8374999999999999</v>
      </c>
      <c r="E17" s="85">
        <f>F17*0.75</f>
        <v>5.5124999999999993</v>
      </c>
      <c r="F17" s="85">
        <v>7.35</v>
      </c>
    </row>
    <row r="18" spans="2:6" x14ac:dyDescent="0.2">
      <c r="B18" s="83" t="s">
        <v>52</v>
      </c>
      <c r="C18" s="84"/>
      <c r="D18" s="85">
        <f>(F16-F17)*0.5</f>
        <v>2.8250000000000002</v>
      </c>
      <c r="E18" s="85">
        <f>(F16-F17)*0.5</f>
        <v>2.8250000000000002</v>
      </c>
      <c r="F18" s="85">
        <v>5.65</v>
      </c>
    </row>
    <row r="19" spans="2:6" x14ac:dyDescent="0.2">
      <c r="B19" s="78" t="s">
        <v>53</v>
      </c>
      <c r="C19" s="79"/>
      <c r="D19" s="17">
        <f>D14+D17+D18</f>
        <v>9.6625000000000014</v>
      </c>
      <c r="E19" s="17">
        <f>E14+E17+E18</f>
        <v>38.337500000000006</v>
      </c>
      <c r="F19" s="17">
        <f>D19+E19</f>
        <v>48.000000000000007</v>
      </c>
    </row>
    <row r="20" spans="2:6" x14ac:dyDescent="0.2">
      <c r="B20" s="78" t="s">
        <v>54</v>
      </c>
      <c r="C20" s="79"/>
      <c r="D20" s="81">
        <f>D19/F19</f>
        <v>0.20130208333333333</v>
      </c>
      <c r="E20" s="81">
        <f>E19/F19</f>
        <v>0.79869791666666667</v>
      </c>
      <c r="F20" s="82">
        <f>D20+E20</f>
        <v>1</v>
      </c>
    </row>
    <row r="21" spans="2:6" x14ac:dyDescent="0.2">
      <c r="B21" s="78" t="s">
        <v>55</v>
      </c>
      <c r="C21" s="79"/>
      <c r="D21" s="81">
        <v>0.39</v>
      </c>
      <c r="E21" s="81">
        <v>0.13</v>
      </c>
      <c r="F21" s="81">
        <v>0.17100000000000001</v>
      </c>
    </row>
    <row r="22" spans="2:6" x14ac:dyDescent="0.2">
      <c r="B22" s="86" t="s">
        <v>56</v>
      </c>
      <c r="C22" s="87"/>
      <c r="D22" s="88">
        <f>D19/D14</f>
        <v>1.9325000000000003</v>
      </c>
      <c r="E22" s="88">
        <f>E19/E14</f>
        <v>1.2779166666666668</v>
      </c>
      <c r="F22" s="88">
        <f>F19/(D11+E11)</f>
        <v>1.3714285714285717</v>
      </c>
    </row>
    <row r="24" spans="2:6" ht="17" thickBot="1" x14ac:dyDescent="0.25"/>
    <row r="25" spans="2:6" x14ac:dyDescent="0.2">
      <c r="B25" s="91" t="s">
        <v>44</v>
      </c>
      <c r="C25" s="94">
        <v>85</v>
      </c>
    </row>
    <row r="26" spans="2:6" x14ac:dyDescent="0.2">
      <c r="B26" s="92" t="s">
        <v>81</v>
      </c>
      <c r="C26" s="95">
        <v>2</v>
      </c>
    </row>
    <row r="27" spans="2:6" x14ac:dyDescent="0.2">
      <c r="B27" s="92" t="s">
        <v>77</v>
      </c>
      <c r="C27" s="96">
        <v>35</v>
      </c>
    </row>
    <row r="28" spans="2:6" x14ac:dyDescent="0.2">
      <c r="B28" s="92" t="s">
        <v>78</v>
      </c>
      <c r="C28" s="95">
        <v>5</v>
      </c>
    </row>
    <row r="29" spans="2:6" x14ac:dyDescent="0.2">
      <c r="B29" s="92" t="s">
        <v>79</v>
      </c>
      <c r="C29" s="96">
        <v>30</v>
      </c>
    </row>
    <row r="30" spans="2:6" x14ac:dyDescent="0.2">
      <c r="B30" s="92" t="s">
        <v>51</v>
      </c>
      <c r="C30" s="96">
        <v>7.35</v>
      </c>
    </row>
    <row r="31" spans="2:6" x14ac:dyDescent="0.2">
      <c r="B31" s="92" t="s">
        <v>82</v>
      </c>
      <c r="C31" s="95">
        <f>SUM(C26:C30)</f>
        <v>79.349999999999994</v>
      </c>
    </row>
    <row r="32" spans="2:6" ht="17" thickBot="1" x14ac:dyDescent="0.25">
      <c r="B32" s="93" t="s">
        <v>80</v>
      </c>
      <c r="C32" s="97">
        <f>C25-C27-C28-C29-C30-C26</f>
        <v>5.65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Tables 6.1-6.5, Figure 6.9</vt:lpstr>
      <vt:lpstr>Tables 6.6-6.13</vt:lpstr>
      <vt:lpstr>Tables 6.14, 6.15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Andrew Baum</cp:lastModifiedBy>
  <dcterms:created xsi:type="dcterms:W3CDTF">2017-02-07T16:15:51Z</dcterms:created>
  <dcterms:modified xsi:type="dcterms:W3CDTF">2022-10-05T19:25:37Z</dcterms:modified>
</cp:coreProperties>
</file>