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1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drewbaum-my.sharepoint.com/personal/ab_andrewbaum_com/Documents/Academic/Publications/Books/REI/Website materials/Excel/Ang/"/>
    </mc:Choice>
  </mc:AlternateContent>
  <xr:revisionPtr revIDLastSave="0" documentId="8_{4E007A3F-11C4-5344-807F-5939E8FCE1FF}" xr6:coauthVersionLast="47" xr6:coauthVersionMax="47" xr10:uidLastSave="{00000000-0000-0000-0000-000000000000}"/>
  <bookViews>
    <workbookView xWindow="0" yWindow="500" windowWidth="40960" windowHeight="20900" activeTab="7" xr2:uid="{75F0E883-8811-3B46-902C-BB2BA6CB8E38}"/>
  </bookViews>
  <sheets>
    <sheet name="Table 11.2" sheetId="1" r:id="rId1"/>
    <sheet name="Table 11.3" sheetId="3" r:id="rId2"/>
    <sheet name="Figure 11.2" sheetId="2" r:id="rId3"/>
    <sheet name="Table 11.4" sheetId="4" r:id="rId4"/>
    <sheet name="Tables 11.5-9" sheetId="5" r:id="rId5"/>
    <sheet name="Tables 11.10-15" sheetId="6" r:id="rId6"/>
    <sheet name="Tables 11.16-21" sheetId="7" r:id="rId7"/>
    <sheet name="Table 11.23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1" i="7" l="1"/>
  <c r="C69" i="6"/>
  <c r="C11" i="5"/>
  <c r="C13" i="5" s="1"/>
  <c r="C8" i="5"/>
  <c r="F13" i="8"/>
  <c r="F16" i="8" s="1"/>
  <c r="F5" i="8"/>
  <c r="F6" i="8" s="1"/>
  <c r="C5" i="8"/>
  <c r="C12" i="8" s="1"/>
  <c r="C13" i="8" s="1"/>
  <c r="I56" i="7"/>
  <c r="J56" i="7" s="1"/>
  <c r="I57" i="7"/>
  <c r="I58" i="7"/>
  <c r="I55" i="7"/>
  <c r="E56" i="7"/>
  <c r="E57" i="7"/>
  <c r="E58" i="7"/>
  <c r="E55" i="7"/>
  <c r="L47" i="7"/>
  <c r="L48" i="7"/>
  <c r="L49" i="7"/>
  <c r="L46" i="7"/>
  <c r="F47" i="7"/>
  <c r="F48" i="7"/>
  <c r="F49" i="7"/>
  <c r="F46" i="7"/>
  <c r="C37" i="7"/>
  <c r="C38" i="7"/>
  <c r="C39" i="7"/>
  <c r="C40" i="7"/>
  <c r="C36" i="7"/>
  <c r="K30" i="7"/>
  <c r="K29" i="7"/>
  <c r="K28" i="7"/>
  <c r="K27" i="7"/>
  <c r="K26" i="7"/>
  <c r="F27" i="7"/>
  <c r="F28" i="7"/>
  <c r="F29" i="7"/>
  <c r="F30" i="7"/>
  <c r="F26" i="7"/>
  <c r="K17" i="7"/>
  <c r="K18" i="7"/>
  <c r="K19" i="7"/>
  <c r="K20" i="7"/>
  <c r="K16" i="7"/>
  <c r="F17" i="7"/>
  <c r="F18" i="7"/>
  <c r="F19" i="7"/>
  <c r="F20" i="7"/>
  <c r="F21" i="7"/>
  <c r="F16" i="7"/>
  <c r="K6" i="7"/>
  <c r="K7" i="7"/>
  <c r="K8" i="7"/>
  <c r="K10" i="7"/>
  <c r="K5" i="7"/>
  <c r="F6" i="7"/>
  <c r="F7" i="7"/>
  <c r="F8" i="7"/>
  <c r="F9" i="7"/>
  <c r="F10" i="7"/>
  <c r="F5" i="7"/>
  <c r="C75" i="6"/>
  <c r="C70" i="6"/>
  <c r="H78" i="6" s="1"/>
  <c r="C78" i="6"/>
  <c r="D75" i="6"/>
  <c r="E75" i="6"/>
  <c r="F75" i="6"/>
  <c r="G75" i="6"/>
  <c r="H75" i="6"/>
  <c r="I75" i="6"/>
  <c r="C54" i="6"/>
  <c r="C8" i="6"/>
  <c r="C4" i="6"/>
  <c r="C6" i="6" s="1"/>
  <c r="F63" i="5"/>
  <c r="D62" i="5"/>
  <c r="D63" i="5"/>
  <c r="F50" i="5"/>
  <c r="F51" i="5"/>
  <c r="C22" i="5"/>
  <c r="F22" i="5" s="1"/>
  <c r="E25" i="5"/>
  <c r="C18" i="5"/>
  <c r="D40" i="5" s="1"/>
  <c r="C34" i="5"/>
  <c r="C37" i="5" s="1"/>
  <c r="C58" i="5" s="1"/>
  <c r="C33" i="5"/>
  <c r="E37" i="5" s="1"/>
  <c r="E58" i="5" s="1"/>
  <c r="E59" i="5" s="1"/>
  <c r="E60" i="5" s="1"/>
  <c r="E61" i="5" s="1"/>
  <c r="E62" i="5" s="1"/>
  <c r="E63" i="5" s="1"/>
  <c r="C5" i="5"/>
  <c r="D22" i="1"/>
  <c r="E22" i="1"/>
  <c r="F22" i="1"/>
  <c r="G22" i="1"/>
  <c r="C22" i="1"/>
  <c r="D21" i="1"/>
  <c r="E21" i="1"/>
  <c r="F21" i="1"/>
  <c r="G21" i="1"/>
  <c r="C21" i="1"/>
  <c r="G16" i="8" l="1"/>
  <c r="G18" i="8" s="1"/>
  <c r="J55" i="7"/>
  <c r="J58" i="7"/>
  <c r="F78" i="6"/>
  <c r="C16" i="8"/>
  <c r="J57" i="7"/>
  <c r="G78" i="6"/>
  <c r="E78" i="6"/>
  <c r="D78" i="6"/>
  <c r="I78" i="6"/>
  <c r="C46" i="5"/>
  <c r="F46" i="5" s="1"/>
  <c r="G63" i="5"/>
  <c r="G58" i="5"/>
  <c r="G62" i="5"/>
  <c r="C23" i="5"/>
  <c r="C24" i="5" s="1"/>
  <c r="C6" i="8"/>
  <c r="D13" i="8" s="1"/>
  <c r="C23" i="6"/>
  <c r="C37" i="6" s="1"/>
  <c r="D42" i="6" s="1"/>
  <c r="C24" i="6"/>
  <c r="C13" i="6"/>
  <c r="C15" i="6" s="1"/>
  <c r="D13" i="6"/>
  <c r="D52" i="6" s="1"/>
  <c r="D54" i="6" s="1"/>
  <c r="D61" i="6" s="1"/>
  <c r="F40" i="5"/>
  <c r="G40" i="5" s="1"/>
  <c r="D25" i="5"/>
  <c r="E38" i="5"/>
  <c r="E39" i="5" s="1"/>
  <c r="G37" i="5"/>
  <c r="C38" i="5"/>
  <c r="C59" i="5" s="1"/>
  <c r="G59" i="5" s="1"/>
  <c r="G13" i="8" l="1"/>
  <c r="D16" i="8"/>
  <c r="F23" i="5"/>
  <c r="C47" i="5"/>
  <c r="F47" i="5" s="1"/>
  <c r="E42" i="6"/>
  <c r="D62" i="6"/>
  <c r="D63" i="6" s="1"/>
  <c r="C27" i="6"/>
  <c r="C29" i="6" s="1"/>
  <c r="C38" i="6"/>
  <c r="C41" i="6" s="1"/>
  <c r="D15" i="6"/>
  <c r="E13" i="6"/>
  <c r="E52" i="6" s="1"/>
  <c r="E54" i="6" s="1"/>
  <c r="E61" i="6" s="1"/>
  <c r="D27" i="6"/>
  <c r="F25" i="5"/>
  <c r="F27" i="5" s="1"/>
  <c r="D49" i="5"/>
  <c r="F24" i="5"/>
  <c r="F26" i="5" s="1"/>
  <c r="C48" i="5"/>
  <c r="F48" i="5" s="1"/>
  <c r="G38" i="5"/>
  <c r="C39" i="5"/>
  <c r="F42" i="6" l="1"/>
  <c r="E62" i="6"/>
  <c r="E63" i="6" s="1"/>
  <c r="C43" i="6"/>
  <c r="C61" i="6"/>
  <c r="C63" i="6" s="1"/>
  <c r="D29" i="6"/>
  <c r="D41" i="6"/>
  <c r="E15" i="6"/>
  <c r="F13" i="6"/>
  <c r="F52" i="6" s="1"/>
  <c r="F54" i="6" s="1"/>
  <c r="F61" i="6" s="1"/>
  <c r="E27" i="6"/>
  <c r="G39" i="5"/>
  <c r="G42" i="5" s="1"/>
  <c r="C60" i="5"/>
  <c r="G60" i="5" s="1"/>
  <c r="F49" i="5"/>
  <c r="F53" i="5" s="1"/>
  <c r="D61" i="5"/>
  <c r="G61" i="5" s="1"/>
  <c r="G42" i="6" l="1"/>
  <c r="F62" i="6"/>
  <c r="F63" i="6" s="1"/>
  <c r="D43" i="6"/>
  <c r="E29" i="6"/>
  <c r="E41" i="6"/>
  <c r="G13" i="6"/>
  <c r="G52" i="6" s="1"/>
  <c r="G54" i="6" s="1"/>
  <c r="G61" i="6" s="1"/>
  <c r="F15" i="6"/>
  <c r="F27" i="6"/>
  <c r="G41" i="5"/>
  <c r="F52" i="5"/>
  <c r="G64" i="5"/>
  <c r="G65" i="5"/>
  <c r="H42" i="6" l="1"/>
  <c r="H62" i="6" s="1"/>
  <c r="G62" i="6"/>
  <c r="G63" i="6" s="1"/>
  <c r="E43" i="6"/>
  <c r="F29" i="6"/>
  <c r="F41" i="6"/>
  <c r="H13" i="6"/>
  <c r="H52" i="6" s="1"/>
  <c r="G15" i="6"/>
  <c r="G27" i="6"/>
  <c r="F43" i="6" l="1"/>
  <c r="G29" i="6"/>
  <c r="G41" i="6"/>
  <c r="H14" i="6"/>
  <c r="H15" i="6" l="1"/>
  <c r="H27" i="6" s="1"/>
  <c r="H29" i="6" s="1"/>
  <c r="H30" i="6" s="1"/>
  <c r="H53" i="6"/>
  <c r="H54" i="6" s="1"/>
  <c r="G43" i="6"/>
  <c r="H16" i="6"/>
  <c r="H41" i="6" l="1"/>
  <c r="H43" i="6" s="1"/>
  <c r="H44" i="6" s="1"/>
  <c r="H61" i="6"/>
  <c r="H63" i="6" s="1"/>
  <c r="H64" i="6" s="1"/>
  <c r="H55" i="6"/>
</calcChain>
</file>

<file path=xl/sharedStrings.xml><?xml version="1.0" encoding="utf-8"?>
<sst xmlns="http://schemas.openxmlformats.org/spreadsheetml/2006/main" count="305" uniqueCount="153">
  <si>
    <t>Australia</t>
  </si>
  <si>
    <t>Canada</t>
  </si>
  <si>
    <t>Ireland</t>
  </si>
  <si>
    <t>UK</t>
  </si>
  <si>
    <t>US</t>
  </si>
  <si>
    <t>Mean</t>
  </si>
  <si>
    <t>STD</t>
  </si>
  <si>
    <t>Denmark</t>
  </si>
  <si>
    <t>France</t>
  </si>
  <si>
    <t>Germany</t>
  </si>
  <si>
    <t>Italy</t>
  </si>
  <si>
    <t>Netherlands</t>
  </si>
  <si>
    <t>Norway</t>
  </si>
  <si>
    <t>Portugal</t>
  </si>
  <si>
    <t>Spain</t>
  </si>
  <si>
    <t>Sth. Africa</t>
  </si>
  <si>
    <t>Sweden</t>
  </si>
  <si>
    <t>Switzerland</t>
  </si>
  <si>
    <t>USA</t>
  </si>
  <si>
    <t>Market</t>
  </si>
  <si>
    <t>Returns, 2005</t>
  </si>
  <si>
    <t>U.S.</t>
  </si>
  <si>
    <t>Currency</t>
  </si>
  <si>
    <t>Euro</t>
  </si>
  <si>
    <t>GBP</t>
  </si>
  <si>
    <t>USD</t>
  </si>
  <si>
    <t>JPY</t>
  </si>
  <si>
    <t>Local</t>
  </si>
  <si>
    <t>Size, m2 GLA</t>
  </si>
  <si>
    <t>Rent/m2/month</t>
  </si>
  <si>
    <t>Market rental value p.a.</t>
  </si>
  <si>
    <t>/ Cap rate:</t>
  </si>
  <si>
    <t>Capital value:</t>
  </si>
  <si>
    <t>Estimated costs:</t>
  </si>
  <si>
    <t>Pre-tax profit:</t>
  </si>
  <si>
    <t>Table 11.5: Gordion Shopping Centre development appraisal</t>
  </si>
  <si>
    <t>Say</t>
  </si>
  <si>
    <t>Profit on cost</t>
  </si>
  <si>
    <t>Development IRR</t>
  </si>
  <si>
    <t xml:space="preserve">Year </t>
  </si>
  <si>
    <t>Costs</t>
  </si>
  <si>
    <t>Income</t>
  </si>
  <si>
    <t>Sale</t>
  </si>
  <si>
    <t>Total</t>
  </si>
  <si>
    <t>IRR</t>
  </si>
  <si>
    <t>EM</t>
  </si>
  <si>
    <t>Table 11.6: Gordion Shopping Centre development appraisal (simplified, €m)</t>
  </si>
  <si>
    <t>Equity in</t>
  </si>
  <si>
    <t>Interest</t>
  </si>
  <si>
    <t>Table 11.7: Gordion Shopping Centre development appraisal with 65% leverage (simplified, €m)</t>
  </si>
  <si>
    <t>LTV</t>
  </si>
  <si>
    <t>Interest rate</t>
  </si>
  <si>
    <t>Debt</t>
  </si>
  <si>
    <t>Equity</t>
  </si>
  <si>
    <t>Rent on completion</t>
  </si>
  <si>
    <t>Value on completion</t>
  </si>
  <si>
    <t>Year</t>
  </si>
  <si>
    <t>Table 11.8: Gordion Shopping Centre financial out-turn (simplified, €m)</t>
  </si>
  <si>
    <t>Table 11.9: Gordion Shopping Centre prospective leveraged financial out-turn (€m)</t>
  </si>
  <si>
    <t>Table 11.10: Example cash flows, Lira, all equity</t>
  </si>
  <si>
    <t>Table 11.11: Example cash flows, Lira, 65% debt</t>
  </si>
  <si>
    <t>Table 11.12: Example cash flows, Lira, 65% Euro debt</t>
  </si>
  <si>
    <t xml:space="preserve">Table 11.13: Example cash flows, all equity, € </t>
  </si>
  <si>
    <t>Table 11.15: Risk and return outcomes, Istanbul and Brussels</t>
  </si>
  <si>
    <t>Table 11.14: Example cash flows, €</t>
  </si>
  <si>
    <t>NOI</t>
  </si>
  <si>
    <t>Exit</t>
  </si>
  <si>
    <t>Cash flow</t>
  </si>
  <si>
    <t>Strategy</t>
  </si>
  <si>
    <t>Average return</t>
  </si>
  <si>
    <t>STD*</t>
  </si>
  <si>
    <t xml:space="preserve">CV** </t>
  </si>
  <si>
    <t>Max</t>
  </si>
  <si>
    <t>Min</t>
  </si>
  <si>
    <t>Premium over local bonds</t>
  </si>
  <si>
    <t>INPUTS</t>
  </si>
  <si>
    <t>Growth</t>
  </si>
  <si>
    <t>Exit cap rate</t>
  </si>
  <si>
    <t>Yield</t>
  </si>
  <si>
    <t>Rent</t>
  </si>
  <si>
    <t>Value</t>
  </si>
  <si>
    <t>Currency change</t>
  </si>
  <si>
    <t>RFR Turkey</t>
  </si>
  <si>
    <t>RFR Euro</t>
  </si>
  <si>
    <t>Euro interest rate</t>
  </si>
  <si>
    <t>Turkey interest rate</t>
  </si>
  <si>
    <t>Table 11.21: Property excess returns – recommended approach</t>
  </si>
  <si>
    <t>Bond</t>
  </si>
  <si>
    <t>+ Rp</t>
  </si>
  <si>
    <t>Req</t>
  </si>
  <si>
    <t>K</t>
  </si>
  <si>
    <t>+ G</t>
  </si>
  <si>
    <t>- D</t>
  </si>
  <si>
    <t>Exp</t>
  </si>
  <si>
    <t>Excess</t>
  </si>
  <si>
    <t>Dec</t>
  </si>
  <si>
    <t>UK property</t>
  </si>
  <si>
    <t>Hold</t>
  </si>
  <si>
    <t>Japan property</t>
  </si>
  <si>
    <t>Sell</t>
  </si>
  <si>
    <t>France property</t>
  </si>
  <si>
    <t>Buy</t>
  </si>
  <si>
    <t>South Africa property</t>
  </si>
  <si>
    <t>Table 11.20: Property returns – UK perspective, non-equilibrium</t>
  </si>
  <si>
    <t>+ I</t>
  </si>
  <si>
    <t>Yes</t>
  </si>
  <si>
    <t>No</t>
  </si>
  <si>
    <t>Table 11.19: Bond returns – UK perspective</t>
  </si>
  <si>
    <t>Return</t>
  </si>
  <si>
    <t>UK indexed bonds</t>
  </si>
  <si>
    <t>=</t>
  </si>
  <si>
    <t>UK bonds</t>
  </si>
  <si>
    <t>Japan bonds</t>
  </si>
  <si>
    <t>France bonds</t>
  </si>
  <si>
    <t>South Africa bonds</t>
  </si>
  <si>
    <t>Table 11.18: Bond pricing analysis</t>
  </si>
  <si>
    <t>Table 11.17: Asset pricing analysis (2)</t>
  </si>
  <si>
    <t>Indexed bonds</t>
  </si>
  <si>
    <t>Govt bonds</t>
  </si>
  <si>
    <t>Equities</t>
  </si>
  <si>
    <t>Property</t>
  </si>
  <si>
    <t>Cash</t>
  </si>
  <si>
    <t>Table 11.16: Asset pricing analysis (1)</t>
  </si>
  <si>
    <t>Required</t>
  </si>
  <si>
    <t>£100m shopping centre with 50% leverage, UK</t>
  </si>
  <si>
    <t xml:space="preserve">€100m shopping centre with 50% leverage, France </t>
  </si>
  <si>
    <t>£m</t>
  </si>
  <si>
    <t>Return on equity</t>
  </si>
  <si>
    <t>€m</t>
  </si>
  <si>
    <t>Net rental income</t>
  </si>
  <si>
    <t>Management fees</t>
  </si>
  <si>
    <t>Net income</t>
  </si>
  <si>
    <t>Capital growth</t>
  </si>
  <si>
    <t>Tax leakage</t>
  </si>
  <si>
    <t>Total return</t>
  </si>
  <si>
    <t>Hedging return</t>
  </si>
  <si>
    <t>Total return incl. hedge</t>
  </si>
  <si>
    <t>Value (€m)</t>
  </si>
  <si>
    <t>Value (m)</t>
  </si>
  <si>
    <t xml:space="preserve"> </t>
  </si>
  <si>
    <t>0</t>
  </si>
  <si>
    <t>1</t>
  </si>
  <si>
    <t>2</t>
  </si>
  <si>
    <t>3</t>
  </si>
  <si>
    <t>4</t>
  </si>
  <si>
    <t>5</t>
  </si>
  <si>
    <r>
      <t>RF</t>
    </r>
    <r>
      <rPr>
        <b/>
        <vertAlign val="subscript"/>
        <sz val="12"/>
        <color theme="0"/>
        <rFont val="Times New Roman"/>
        <family val="1"/>
      </rPr>
      <t>R</t>
    </r>
  </si>
  <si>
    <r>
      <t>+ G</t>
    </r>
    <r>
      <rPr>
        <b/>
        <vertAlign val="subscript"/>
        <sz val="12"/>
        <color theme="0"/>
        <rFont val="Times New Roman"/>
        <family val="1"/>
      </rPr>
      <t>N</t>
    </r>
  </si>
  <si>
    <r>
      <t>+ G</t>
    </r>
    <r>
      <rPr>
        <b/>
        <vertAlign val="subscript"/>
        <sz val="12"/>
        <color theme="0"/>
        <rFont val="Times New Roman"/>
        <family val="1"/>
      </rPr>
      <t>C</t>
    </r>
  </si>
  <si>
    <t>Return on equity3</t>
  </si>
  <si>
    <t xml:space="preserve"> 2</t>
  </si>
  <si>
    <t xml:space="preserve"> '</t>
  </si>
  <si>
    <t>Asset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</si>
</sst>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0.0"/>
    <numFmt numFmtId="166" formatCode="&quot;£&quot;#,##0"/>
    <numFmt numFmtId="167" formatCode="0.000%"/>
    <numFmt numFmtId="168" formatCode="&quot;£&quot;#,##0.00000"/>
    <numFmt numFmtId="170" formatCode="[$€-1809]#,##0;\-[$€-1809]#,##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vertAlign val="subscript"/>
      <sz val="12"/>
      <color theme="0"/>
      <name val="Times New Roman"/>
      <family val="1"/>
    </font>
    <font>
      <b/>
      <sz val="12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0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59996337778862885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59996337778862885"/>
      </bottom>
      <diagonal/>
    </border>
    <border>
      <left style="medium">
        <color indexed="64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medium">
        <color indexed="64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59996337778862885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10" fontId="0" fillId="0" borderId="0" xfId="1" applyNumberFormat="1" applyFont="1"/>
    <xf numFmtId="0" fontId="2" fillId="0" borderId="0" xfId="0" applyFont="1"/>
    <xf numFmtId="3" fontId="0" fillId="0" borderId="0" xfId="0" applyNumberFormat="1"/>
    <xf numFmtId="166" fontId="0" fillId="0" borderId="0" xfId="0" applyNumberFormat="1"/>
    <xf numFmtId="2" fontId="0" fillId="0" borderId="0" xfId="0" applyNumberFormat="1"/>
    <xf numFmtId="167" fontId="0" fillId="0" borderId="0" xfId="1" applyNumberFormat="1" applyFont="1"/>
    <xf numFmtId="0" fontId="0" fillId="0" borderId="0" xfId="0" applyFont="1"/>
    <xf numFmtId="0" fontId="3" fillId="0" borderId="0" xfId="0" applyFont="1" applyBorder="1"/>
    <xf numFmtId="166" fontId="0" fillId="0" borderId="0" xfId="0" applyNumberFormat="1" applyFont="1"/>
    <xf numFmtId="0" fontId="8" fillId="0" borderId="0" xfId="0" applyFont="1"/>
    <xf numFmtId="0" fontId="5" fillId="0" borderId="0" xfId="0" applyFont="1" applyBorder="1" applyAlignment="1">
      <alignment vertical="center"/>
    </xf>
    <xf numFmtId="10" fontId="5" fillId="0" borderId="0" xfId="0" applyNumberFormat="1" applyFont="1" applyBorder="1" applyAlignment="1">
      <alignment horizontal="right" vertical="center"/>
    </xf>
    <xf numFmtId="9" fontId="8" fillId="0" borderId="0" xfId="1" applyFo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168" fontId="0" fillId="0" borderId="0" xfId="0" applyNumberFormat="1"/>
    <xf numFmtId="0" fontId="9" fillId="4" borderId="13" xfId="0" applyFont="1" applyFill="1" applyBorder="1" applyAlignment="1">
      <alignment horizontal="center"/>
    </xf>
    <xf numFmtId="165" fontId="8" fillId="0" borderId="13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4" borderId="17" xfId="0" applyFont="1" applyFill="1" applyBorder="1" applyAlignment="1">
      <alignment horizontal="center"/>
    </xf>
    <xf numFmtId="165" fontId="7" fillId="0" borderId="17" xfId="0" applyNumberFormat="1" applyFont="1" applyBorder="1" applyAlignment="1">
      <alignment horizontal="right" vertical="center"/>
    </xf>
    <xf numFmtId="165" fontId="8" fillId="0" borderId="17" xfId="0" applyNumberFormat="1" applyFont="1" applyBorder="1" applyAlignment="1">
      <alignment horizontal="right" vertical="center"/>
    </xf>
    <xf numFmtId="0" fontId="9" fillId="4" borderId="23" xfId="0" applyFont="1" applyFill="1" applyBorder="1" applyAlignment="1">
      <alignment horizontal="center"/>
    </xf>
    <xf numFmtId="165" fontId="7" fillId="0" borderId="23" xfId="0" applyNumberFormat="1" applyFont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0" fontId="9" fillId="2" borderId="19" xfId="0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center"/>
    </xf>
    <xf numFmtId="165" fontId="8" fillId="3" borderId="13" xfId="0" applyNumberFormat="1" applyFont="1" applyFill="1" applyBorder="1" applyAlignment="1">
      <alignment horizontal="right" vertical="center"/>
    </xf>
    <xf numFmtId="165" fontId="8" fillId="3" borderId="15" xfId="0" applyNumberFormat="1" applyFont="1" applyFill="1" applyBorder="1" applyAlignment="1">
      <alignment horizontal="right" vertical="center"/>
    </xf>
    <xf numFmtId="165" fontId="8" fillId="0" borderId="15" xfId="0" applyNumberFormat="1" applyFont="1" applyBorder="1" applyAlignment="1">
      <alignment horizontal="right" vertical="center"/>
    </xf>
    <xf numFmtId="0" fontId="9" fillId="4" borderId="16" xfId="0" applyFont="1" applyFill="1" applyBorder="1" applyAlignment="1">
      <alignment horizontal="center"/>
    </xf>
    <xf numFmtId="0" fontId="0" fillId="5" borderId="0" xfId="0" applyFill="1" applyBorder="1"/>
    <xf numFmtId="0" fontId="9" fillId="5" borderId="24" xfId="0" applyFont="1" applyFill="1" applyBorder="1"/>
    <xf numFmtId="0" fontId="9" fillId="4" borderId="25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165" fontId="8" fillId="3" borderId="21" xfId="0" applyNumberFormat="1" applyFont="1" applyFill="1" applyBorder="1" applyAlignment="1">
      <alignment horizontal="right" vertical="center"/>
    </xf>
    <xf numFmtId="165" fontId="8" fillId="3" borderId="2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165" fontId="8" fillId="3" borderId="13" xfId="0" applyNumberFormat="1" applyFont="1" applyFill="1" applyBorder="1" applyAlignment="1">
      <alignment horizontal="center" vertical="center"/>
    </xf>
    <xf numFmtId="165" fontId="8" fillId="0" borderId="13" xfId="0" applyNumberFormat="1" applyFont="1" applyBorder="1" applyAlignment="1">
      <alignment horizontal="center" vertical="center"/>
    </xf>
    <xf numFmtId="165" fontId="8" fillId="3" borderId="21" xfId="0" applyNumberFormat="1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165" fontId="7" fillId="3" borderId="28" xfId="0" applyNumberFormat="1" applyFont="1" applyFill="1" applyBorder="1" applyAlignment="1">
      <alignment horizontal="center" vertical="center"/>
    </xf>
    <xf numFmtId="165" fontId="7" fillId="0" borderId="28" xfId="0" applyNumberFormat="1" applyFont="1" applyBorder="1" applyAlignment="1">
      <alignment horizontal="center" vertical="center"/>
    </xf>
    <xf numFmtId="165" fontId="7" fillId="3" borderId="29" xfId="0" applyNumberFormat="1" applyFont="1" applyFill="1" applyBorder="1" applyAlignment="1">
      <alignment horizontal="center" vertical="center"/>
    </xf>
    <xf numFmtId="166" fontId="0" fillId="3" borderId="12" xfId="0" applyNumberFormat="1" applyFont="1" applyFill="1" applyBorder="1" applyAlignment="1">
      <alignment horizontal="right"/>
    </xf>
    <xf numFmtId="166" fontId="0" fillId="0" borderId="12" xfId="0" applyNumberFormat="1" applyFont="1" applyBorder="1" applyAlignment="1">
      <alignment horizontal="right"/>
    </xf>
    <xf numFmtId="0" fontId="10" fillId="4" borderId="6" xfId="0" applyFont="1" applyFill="1" applyBorder="1"/>
    <xf numFmtId="166" fontId="0" fillId="3" borderId="32" xfId="0" applyNumberFormat="1" applyFont="1" applyFill="1" applyBorder="1" applyAlignment="1">
      <alignment horizontal="right"/>
    </xf>
    <xf numFmtId="0" fontId="10" fillId="4" borderId="10" xfId="0" applyFont="1" applyFill="1" applyBorder="1"/>
    <xf numFmtId="0" fontId="10" fillId="4" borderId="11" xfId="0" applyFont="1" applyFill="1" applyBorder="1"/>
    <xf numFmtId="166" fontId="0" fillId="3" borderId="7" xfId="0" applyNumberFormat="1" applyFont="1" applyFill="1" applyBorder="1" applyAlignment="1">
      <alignment horizontal="right"/>
    </xf>
    <xf numFmtId="3" fontId="0" fillId="3" borderId="32" xfId="0" applyNumberFormat="1" applyFont="1" applyFill="1" applyBorder="1" applyAlignment="1">
      <alignment horizontal="right"/>
    </xf>
    <xf numFmtId="1" fontId="0" fillId="0" borderId="12" xfId="0" applyNumberFormat="1" applyFont="1" applyBorder="1" applyAlignment="1">
      <alignment horizontal="right"/>
    </xf>
    <xf numFmtId="10" fontId="0" fillId="3" borderId="12" xfId="1" applyNumberFormat="1" applyFont="1" applyFill="1" applyBorder="1" applyAlignment="1">
      <alignment horizontal="right"/>
    </xf>
    <xf numFmtId="10" fontId="0" fillId="0" borderId="12" xfId="1" applyNumberFormat="1" applyFont="1" applyBorder="1" applyAlignment="1">
      <alignment horizontal="right"/>
    </xf>
    <xf numFmtId="10" fontId="0" fillId="3" borderId="7" xfId="1" applyNumberFormat="1" applyFont="1" applyFill="1" applyBorder="1" applyAlignment="1">
      <alignment horizontal="right"/>
    </xf>
    <xf numFmtId="10" fontId="0" fillId="3" borderId="32" xfId="1" applyNumberFormat="1" applyFont="1" applyFill="1" applyBorder="1" applyAlignment="1">
      <alignment horizontal="right"/>
    </xf>
    <xf numFmtId="166" fontId="0" fillId="0" borderId="7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6" fontId="0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0" fontId="7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/>
    </xf>
    <xf numFmtId="166" fontId="0" fillId="3" borderId="9" xfId="0" applyNumberFormat="1" applyFont="1" applyFill="1" applyBorder="1" applyAlignment="1">
      <alignment horizontal="right"/>
    </xf>
    <xf numFmtId="166" fontId="0" fillId="3" borderId="5" xfId="0" applyNumberFormat="1" applyFont="1" applyFill="1" applyBorder="1" applyAlignment="1">
      <alignment horizontal="right"/>
    </xf>
    <xf numFmtId="10" fontId="0" fillId="0" borderId="5" xfId="1" applyNumberFormat="1" applyFont="1" applyBorder="1" applyAlignment="1">
      <alignment horizontal="right"/>
    </xf>
    <xf numFmtId="10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0" fontId="0" fillId="3" borderId="2" xfId="1" applyNumberFormat="1" applyFont="1" applyFill="1" applyBorder="1" applyAlignment="1">
      <alignment horizontal="right"/>
    </xf>
    <xf numFmtId="1" fontId="0" fillId="3" borderId="5" xfId="0" applyNumberFormat="1" applyFont="1" applyFill="1" applyBorder="1" applyAlignment="1">
      <alignment horizontal="right"/>
    </xf>
    <xf numFmtId="10" fontId="0" fillId="3" borderId="9" xfId="1" applyNumberFormat="1" applyFont="1" applyFill="1" applyBorder="1" applyAlignment="1">
      <alignment horizontal="right"/>
    </xf>
    <xf numFmtId="1" fontId="0" fillId="0" borderId="2" xfId="1" applyNumberFormat="1" applyFont="1" applyBorder="1" applyAlignment="1">
      <alignment horizontal="right"/>
    </xf>
    <xf numFmtId="0" fontId="10" fillId="4" borderId="10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4" fontId="8" fillId="3" borderId="30" xfId="0" applyNumberFormat="1" applyFont="1" applyFill="1" applyBorder="1" applyAlignment="1">
      <alignment horizontal="center" vertical="center"/>
    </xf>
    <xf numFmtId="2" fontId="8" fillId="3" borderId="30" xfId="0" applyNumberFormat="1" applyFont="1" applyFill="1" applyBorder="1" applyAlignment="1">
      <alignment horizontal="center" vertical="center"/>
    </xf>
    <xf numFmtId="2" fontId="8" fillId="3" borderId="12" xfId="0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2" fillId="0" borderId="3" xfId="0" applyFont="1" applyBorder="1"/>
    <xf numFmtId="9" fontId="7" fillId="0" borderId="1" xfId="1" applyFont="1" applyBorder="1"/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4" fontId="8" fillId="3" borderId="0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10" fontId="8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Border="1"/>
    <xf numFmtId="0" fontId="2" fillId="0" borderId="6" xfId="0" applyFont="1" applyBorder="1"/>
    <xf numFmtId="9" fontId="2" fillId="0" borderId="9" xfId="0" applyNumberFormat="1" applyFont="1" applyBorder="1"/>
    <xf numFmtId="0" fontId="2" fillId="0" borderId="11" xfId="0" applyFont="1" applyBorder="1"/>
    <xf numFmtId="0" fontId="10" fillId="2" borderId="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4" fontId="8" fillId="3" borderId="38" xfId="0" applyNumberFormat="1" applyFont="1" applyFill="1" applyBorder="1" applyAlignment="1">
      <alignment horizontal="center" vertical="center"/>
    </xf>
    <xf numFmtId="4" fontId="8" fillId="3" borderId="39" xfId="0" applyNumberFormat="1" applyFont="1" applyFill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4" fontId="8" fillId="0" borderId="38" xfId="0" applyNumberFormat="1" applyFont="1" applyBorder="1" applyAlignment="1">
      <alignment horizontal="center" vertical="center"/>
    </xf>
    <xf numFmtId="4" fontId="8" fillId="0" borderId="40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2" fontId="8" fillId="3" borderId="38" xfId="0" applyNumberFormat="1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4" fontId="8" fillId="3" borderId="40" xfId="0" applyNumberFormat="1" applyFont="1" applyFill="1" applyBorder="1" applyAlignment="1">
      <alignment horizontal="center" vertical="center"/>
    </xf>
    <xf numFmtId="4" fontId="8" fillId="3" borderId="35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10" fontId="0" fillId="0" borderId="5" xfId="0" applyNumberFormat="1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right" vertical="center"/>
    </xf>
    <xf numFmtId="10" fontId="0" fillId="3" borderId="7" xfId="1" applyNumberFormat="1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170" fontId="0" fillId="3" borderId="32" xfId="0" applyNumberFormat="1" applyFont="1" applyFill="1" applyBorder="1" applyAlignment="1">
      <alignment horizontal="right" vertical="center"/>
    </xf>
    <xf numFmtId="170" fontId="0" fillId="3" borderId="12" xfId="0" applyNumberFormat="1" applyFont="1" applyFill="1" applyBorder="1" applyAlignment="1">
      <alignment horizontal="right" vertical="center"/>
    </xf>
    <xf numFmtId="170" fontId="0" fillId="0" borderId="12" xfId="0" applyNumberFormat="1" applyFont="1" applyBorder="1" applyAlignment="1">
      <alignment horizontal="right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10" fontId="2" fillId="0" borderId="44" xfId="0" applyNumberFormat="1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10" fontId="2" fillId="0" borderId="47" xfId="0" applyNumberFormat="1" applyFont="1" applyBorder="1" applyAlignment="1">
      <alignment horizontal="center" vertical="center"/>
    </xf>
  </cellXfs>
  <cellStyles count="2">
    <cellStyle name="Normal" xfId="0" builtinId="0"/>
    <cellStyle name="Per cent" xfId="1" builtinId="5"/>
  </cellStyles>
  <dxfs count="6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66" formatCode="&quot;£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66" formatCode="&quot;£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66" formatCode="&quot;£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&quot;£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&quot;£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&quot;£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&quot;£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&quot;£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numFmt numFmtId="166" formatCode="&quot;£&quot;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6" formatCode="&quot;£&quot;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65" formatCode="0.0"/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65" formatCode="0.0"/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65" formatCode="0.0"/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65" formatCode="0.0"/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65" formatCode="0.0"/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 style="thin">
          <color theme="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 style="thin">
          <color theme="0"/>
        </horizontal>
      </border>
    </dxf>
    <dxf>
      <border>
        <top style="thin">
          <color theme="0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19</xdr:row>
      <xdr:rowOff>0</xdr:rowOff>
    </xdr:from>
    <xdr:to>
      <xdr:col>6</xdr:col>
      <xdr:colOff>495300</xdr:colOff>
      <xdr:row>19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949299-7FCE-04F9-1200-32F340357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3886200"/>
          <a:ext cx="114300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381000</xdr:colOff>
      <xdr:row>20</xdr:row>
      <xdr:rowOff>0</xdr:rowOff>
    </xdr:from>
    <xdr:to>
      <xdr:col>6</xdr:col>
      <xdr:colOff>495300</xdr:colOff>
      <xdr:row>20</xdr:row>
      <xdr:rowOff>177800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94C4D7-3C2C-7485-2ED3-E8B6FE9C5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4086225"/>
          <a:ext cx="114300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371475</xdr:colOff>
      <xdr:row>9</xdr:row>
      <xdr:rowOff>0</xdr:rowOff>
    </xdr:from>
    <xdr:to>
      <xdr:col>6</xdr:col>
      <xdr:colOff>485775</xdr:colOff>
      <xdr:row>9</xdr:row>
      <xdr:rowOff>177800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1632881-B34B-AEC0-DDBE-BC2AA5DFC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828800"/>
          <a:ext cx="114300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361950</xdr:colOff>
      <xdr:row>8</xdr:row>
      <xdr:rowOff>0</xdr:rowOff>
    </xdr:from>
    <xdr:to>
      <xdr:col>6</xdr:col>
      <xdr:colOff>476250</xdr:colOff>
      <xdr:row>8</xdr:row>
      <xdr:rowOff>177800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15D3288-A760-43C3-A1FD-0AFB3CD21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1628775"/>
          <a:ext cx="114300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E8C7ED-A64C-428D-84E8-8A97EFA986E3}" name="Table1" displayName="Table1" ref="B2:G22" totalsRowShown="0" headerRowDxfId="68" dataDxfId="66" headerRowBorderDxfId="67" tableBorderDxfId="65" totalsRowBorderDxfId="64">
  <tableColumns count="6">
    <tableColumn id="1" xr3:uid="{35DA303B-9E67-4C38-9816-5AADF913D4D1}" name=" " dataDxfId="63"/>
    <tableColumn id="2" xr3:uid="{C27A1193-2C1B-4F71-BC62-A20A5467D3FA}" name="Australia" dataDxfId="62"/>
    <tableColumn id="3" xr3:uid="{E43F9E9C-0FA8-4488-ACFD-AB15C194FF31}" name="Canada" dataDxfId="61"/>
    <tableColumn id="4" xr3:uid="{5C2DF781-5E7E-42FB-A6B6-220E2DD1A0C3}" name="Ireland" dataDxfId="60"/>
    <tableColumn id="5" xr3:uid="{9F9A1648-0782-4114-B556-D395829A51D6}" name="UK" dataDxfId="59"/>
    <tableColumn id="6" xr3:uid="{BC3465F2-137A-442C-B4AD-587C04A9DD49}" name="US" dataDxfId="5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8C0EDD-29F6-4604-B898-FF12A0B9B958}" name="Table2" displayName="Table2" ref="B2:C17" totalsRowShown="0" headerRowDxfId="57" dataDxfId="56">
  <tableColumns count="2">
    <tableColumn id="1" xr3:uid="{DC67AD35-E579-4902-BEA5-FC645E9D675E}" name="Market" dataDxfId="55"/>
    <tableColumn id="2" xr3:uid="{6FA487A6-BD50-4ABC-B15E-84921EF4CFAD}" name="Returns, 2005" dataDxfId="54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F748848-845C-4486-974E-79546306565D}" name="Table3" displayName="Table3" ref="B21:F25" totalsRowShown="0" headerRowDxfId="53" dataDxfId="52" tableBorderDxfId="51">
  <tableColumns count="5">
    <tableColumn id="1" xr3:uid="{BF5B5FD4-F92E-4F4C-9812-09EF5248ED61}" name="Year " dataDxfId="50"/>
    <tableColumn id="2" xr3:uid="{636849B4-C692-4DB7-A7EB-6DCEB35CE74E}" name="Equity in" dataDxfId="49"/>
    <tableColumn id="3" xr3:uid="{F3AF6965-9810-436F-B930-95863A9212ED}" name="Income" dataDxfId="48"/>
    <tableColumn id="4" xr3:uid="{DD9895CF-1BCD-4429-8462-BC419227D436}" name="Sale" dataDxfId="47"/>
    <tableColumn id="5" xr3:uid="{7BA8927C-352E-4511-8D1D-218039237AB0}" name="Total" dataDxfId="4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D09633D-8E2C-46CF-BAC1-909AE0780913}" name="Table4" displayName="Table4" ref="B36:G40" totalsRowShown="0" headerRowDxfId="45" dataDxfId="44" tableBorderDxfId="43">
  <tableColumns count="6">
    <tableColumn id="1" xr3:uid="{CF7C2F32-ADD1-4113-982A-80A627D53183}" name="Year " dataDxfId="42"/>
    <tableColumn id="2" xr3:uid="{1FB9012C-073F-4C33-AF72-B02942F5D7D9}" name="Equity in" dataDxfId="41"/>
    <tableColumn id="3" xr3:uid="{90C38DC5-65D3-44AF-89AA-247A1B6B453F}" name="Income" dataDxfId="40"/>
    <tableColumn id="4" xr3:uid="{F4DA7664-2F22-46AB-9B8F-825A9EA878B1}" name="Interest" dataDxfId="39"/>
    <tableColumn id="5" xr3:uid="{B952662A-58ED-4FF9-B3DD-E4DC5670F902}" name="Sale" dataDxfId="38"/>
    <tableColumn id="6" xr3:uid="{24FC249A-A674-44BB-9DDC-67A9ED414ECA}" name="Total" dataDxfId="3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7BC04FB-95C7-4D1E-A139-81EBC904BD91}" name="Table5" displayName="Table5" ref="B45:F51" totalsRowShown="0" headerRowDxfId="36" dataDxfId="35" tableBorderDxfId="34">
  <tableColumns count="5">
    <tableColumn id="1" xr3:uid="{178F2AF5-0B20-44C0-A646-4B3C76C8B8B3}" name="Year" dataDxfId="33"/>
    <tableColumn id="2" xr3:uid="{360D4DD4-970E-40D1-9EE6-C2FDB90423A3}" name="Costs" dataDxfId="32"/>
    <tableColumn id="3" xr3:uid="{08268077-DF54-40B3-9D38-7AD2F3B8C960}" name="Income" dataDxfId="31"/>
    <tableColumn id="4" xr3:uid="{000DC178-C336-40F7-8311-6B2F6E13B179}" name="Sale" dataDxfId="30"/>
    <tableColumn id="5" xr3:uid="{47A9F3D6-7B48-4586-B25D-855AABEBF71E}" name="Total" dataDxfId="29">
      <calculatedColumnFormula>C46+D46+E46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EC3D88E-E1F3-4FEB-AC2C-105D55380341}" name="Table6" displayName="Table6" ref="B57:G63" totalsRowShown="0" headerRowDxfId="28" dataDxfId="27" tableBorderDxfId="26">
  <tableColumns count="6">
    <tableColumn id="1" xr3:uid="{D13DE752-ED5B-43F1-840F-E83CDF05567F}" name="Year " dataDxfId="25"/>
    <tableColumn id="2" xr3:uid="{F074475F-4EEE-4934-8651-FA9C7A66CB26}" name="Equity in" dataDxfId="24"/>
    <tableColumn id="3" xr3:uid="{DD061F97-F6B2-4415-9804-5DA4FFE1CF30}" name="Income" dataDxfId="23"/>
    <tableColumn id="4" xr3:uid="{FCFD4D51-90E6-4270-804A-7D6B2C12A556}" name="Interest" dataDxfId="22">
      <calculatedColumnFormula>E57</calculatedColumnFormula>
    </tableColumn>
    <tableColumn id="5" xr3:uid="{9FC37EBE-3461-4CAD-A515-658E61CF6784}" name="Sale" dataDxfId="21"/>
    <tableColumn id="6" xr3:uid="{F12973D1-F427-40C0-B0B4-D8237F879137}" name="Total" dataDxfId="20">
      <calculatedColumnFormula>C58+D58-E58+F58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8980CCF-25E2-4EF7-9C49-095F6F2DFE7A}" name="Table7" displayName="Table7" ref="B12:H16" totalsRowShown="0" headerRowDxfId="19" dataDxfId="18" tableBorderDxfId="17">
  <tableColumns count="7">
    <tableColumn id="1" xr3:uid="{9068BCC1-C457-4AF4-886C-C75425669545}" name="Year" dataDxfId="16"/>
    <tableColumn id="2" xr3:uid="{A08CD925-39E2-4288-B87D-9A416873BBC5}" name="0" dataDxfId="15"/>
    <tableColumn id="3" xr3:uid="{FAE596E0-229D-4A75-B9D0-926B64A31CFD}" name="1" dataDxfId="14"/>
    <tableColumn id="4" xr3:uid="{EBE487C3-CE0C-432F-963D-480AEEE19E3C}" name="2" dataDxfId="13"/>
    <tableColumn id="5" xr3:uid="{A0B453C2-DC1E-42DC-98CE-7CAB2E67F777}" name="3" dataDxfId="12"/>
    <tableColumn id="6" xr3:uid="{F15B4BDB-5D9A-448A-8C4B-149FFC2A6E7A}" name="4" dataDxfId="11"/>
    <tableColumn id="7" xr3:uid="{13597B1A-DD3B-404E-ACA6-229F0A50F916}" name="5" dataDxfId="1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2E5A52D-F301-426C-926F-DFE5C5C85ABD}" name="Table9" displayName="Table9" ref="B9:G16" totalsRowShown="0" headerRowDxfId="9" dataDxfId="7" headerRowBorderDxfId="8" tableBorderDxfId="6">
  <tableColumns count="6">
    <tableColumn id="1" xr3:uid="{B5137234-5B58-4DFD-AC07-CE3FFB3CAB35}" name=" '" dataDxfId="5"/>
    <tableColumn id="2" xr3:uid="{1BF6F417-17A0-44A2-A4EF-5347C5401820}" name="£m" dataDxfId="4"/>
    <tableColumn id="3" xr3:uid="{F909C4CE-7D66-45BF-AA4B-94601469DA0B}" name="Return on equity" dataDxfId="3"/>
    <tableColumn id="4" xr3:uid="{10E1A189-2856-488B-A255-DCA72AB2F7C2}" name=" 2" dataDxfId="2"/>
    <tableColumn id="5" xr3:uid="{B02A98B3-D644-40AD-814F-11F31C164DAE}" name="€m" dataDxfId="1"/>
    <tableColumn id="6" xr3:uid="{D39D063C-CCDB-4DF1-828D-B48EBEBE2246}" name="Return on equity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CDAEF-030D-3C45-BC5B-FCFFFC92E988}">
  <sheetPr>
    <tabColor theme="4" tint="0.59999389629810485"/>
  </sheetPr>
  <dimension ref="B2:G22"/>
  <sheetViews>
    <sheetView showGridLines="0" workbookViewId="0">
      <selection activeCell="B2" sqref="B2"/>
    </sheetView>
  </sheetViews>
  <sheetFormatPr baseColWidth="10" defaultColWidth="11" defaultRowHeight="16" x14ac:dyDescent="0.2"/>
  <cols>
    <col min="1" max="1" width="6" customWidth="1"/>
  </cols>
  <sheetData>
    <row r="2" spans="2:7" x14ac:dyDescent="0.2">
      <c r="B2" s="32" t="s">
        <v>139</v>
      </c>
      <c r="C2" s="19" t="s">
        <v>0</v>
      </c>
      <c r="D2" s="19" t="s">
        <v>1</v>
      </c>
      <c r="E2" s="19" t="s">
        <v>2</v>
      </c>
      <c r="F2" s="19" t="s">
        <v>3</v>
      </c>
      <c r="G2" s="19" t="s">
        <v>4</v>
      </c>
    </row>
    <row r="3" spans="2:7" x14ac:dyDescent="0.2">
      <c r="B3" s="31">
        <v>2001</v>
      </c>
      <c r="C3" s="18">
        <v>10.7</v>
      </c>
      <c r="D3" s="18">
        <v>9.25</v>
      </c>
      <c r="E3" s="18">
        <v>8.08</v>
      </c>
      <c r="F3" s="18">
        <v>6.79</v>
      </c>
      <c r="G3" s="18">
        <v>7.28</v>
      </c>
    </row>
    <row r="4" spans="2:7" x14ac:dyDescent="0.2">
      <c r="B4" s="17">
        <v>2002</v>
      </c>
      <c r="C4" s="18">
        <v>9.81</v>
      </c>
      <c r="D4" s="18">
        <v>8.81</v>
      </c>
      <c r="E4" s="18">
        <v>2.35</v>
      </c>
      <c r="F4" s="18">
        <v>9.64</v>
      </c>
      <c r="G4" s="18">
        <v>6.74</v>
      </c>
    </row>
    <row r="5" spans="2:7" x14ac:dyDescent="0.2">
      <c r="B5" s="17">
        <v>2003</v>
      </c>
      <c r="C5" s="18">
        <v>12.2</v>
      </c>
      <c r="D5" s="18">
        <v>8.33</v>
      </c>
      <c r="E5" s="18">
        <v>12.4</v>
      </c>
      <c r="F5" s="18">
        <v>10.9</v>
      </c>
      <c r="G5" s="18">
        <v>8.99</v>
      </c>
    </row>
    <row r="6" spans="2:7" x14ac:dyDescent="0.2">
      <c r="B6" s="17">
        <v>2004</v>
      </c>
      <c r="C6" s="18">
        <v>14</v>
      </c>
      <c r="D6" s="18">
        <v>12.9</v>
      </c>
      <c r="E6" s="18">
        <v>11.4</v>
      </c>
      <c r="F6" s="18">
        <v>18.3</v>
      </c>
      <c r="G6" s="18">
        <v>14.5</v>
      </c>
    </row>
    <row r="7" spans="2:7" x14ac:dyDescent="0.2">
      <c r="B7" s="17">
        <v>2005</v>
      </c>
      <c r="C7" s="18">
        <v>15.7</v>
      </c>
      <c r="D7" s="18">
        <v>18.7</v>
      </c>
      <c r="E7" s="18">
        <v>24.4</v>
      </c>
      <c r="F7" s="18">
        <v>19.100000000000001</v>
      </c>
      <c r="G7" s="18">
        <v>20.100000000000001</v>
      </c>
    </row>
    <row r="8" spans="2:7" x14ac:dyDescent="0.2">
      <c r="B8" s="17">
        <v>2006</v>
      </c>
      <c r="C8" s="18">
        <v>19.2</v>
      </c>
      <c r="D8" s="18">
        <v>18.3</v>
      </c>
      <c r="E8" s="18">
        <v>27.2</v>
      </c>
      <c r="F8" s="18">
        <v>18.100000000000001</v>
      </c>
      <c r="G8" s="18">
        <v>16.600000000000001</v>
      </c>
    </row>
    <row r="9" spans="2:7" x14ac:dyDescent="0.2">
      <c r="B9" s="17">
        <v>2007</v>
      </c>
      <c r="C9" s="18">
        <v>18.3</v>
      </c>
      <c r="D9" s="18">
        <v>15.8</v>
      </c>
      <c r="E9" s="18">
        <v>9.85</v>
      </c>
      <c r="F9" s="18">
        <v>-3.42</v>
      </c>
      <c r="G9" s="18">
        <v>15.8</v>
      </c>
    </row>
    <row r="10" spans="2:7" x14ac:dyDescent="0.2">
      <c r="B10" s="17">
        <v>2008</v>
      </c>
      <c r="C10" s="18">
        <v>-0.26</v>
      </c>
      <c r="D10" s="18">
        <v>3.69</v>
      </c>
      <c r="E10" s="18">
        <v>-34.5</v>
      </c>
      <c r="F10" s="18">
        <v>-22.1</v>
      </c>
      <c r="G10" s="18">
        <v>-6.46</v>
      </c>
    </row>
    <row r="11" spans="2:7" x14ac:dyDescent="0.2">
      <c r="B11" s="17">
        <v>2009</v>
      </c>
      <c r="C11" s="18">
        <v>-2.15</v>
      </c>
      <c r="D11" s="18">
        <v>-0.32</v>
      </c>
      <c r="E11" s="18">
        <v>-23.3</v>
      </c>
      <c r="F11" s="18">
        <v>3.51</v>
      </c>
      <c r="G11" s="18">
        <v>-16.899999999999999</v>
      </c>
    </row>
    <row r="12" spans="2:7" x14ac:dyDescent="0.2">
      <c r="B12" s="17">
        <v>2010</v>
      </c>
      <c r="C12" s="18">
        <v>9.3000000000000007</v>
      </c>
      <c r="D12" s="18">
        <v>11.2</v>
      </c>
      <c r="E12" s="18">
        <v>-2.4</v>
      </c>
      <c r="F12" s="18">
        <v>15.1</v>
      </c>
      <c r="G12" s="18">
        <v>14.5</v>
      </c>
    </row>
    <row r="13" spans="2:7" x14ac:dyDescent="0.2">
      <c r="B13" s="17">
        <v>2011</v>
      </c>
      <c r="C13" s="18">
        <v>10.4</v>
      </c>
      <c r="D13" s="18">
        <v>15.5</v>
      </c>
      <c r="E13" s="18">
        <v>-2.4</v>
      </c>
      <c r="F13" s="18">
        <v>7.8</v>
      </c>
      <c r="G13" s="18">
        <v>14.5</v>
      </c>
    </row>
    <row r="14" spans="2:7" x14ac:dyDescent="0.2">
      <c r="B14" s="17">
        <v>2012</v>
      </c>
      <c r="C14" s="18">
        <v>9.4</v>
      </c>
      <c r="D14" s="18">
        <v>14.1</v>
      </c>
      <c r="E14" s="18">
        <v>3.1</v>
      </c>
      <c r="F14" s="18">
        <v>3.4</v>
      </c>
      <c r="G14" s="18">
        <v>10.7</v>
      </c>
    </row>
    <row r="15" spans="2:7" x14ac:dyDescent="0.2">
      <c r="B15" s="17">
        <v>2013</v>
      </c>
      <c r="C15" s="18">
        <v>9.1999999999999993</v>
      </c>
      <c r="D15" s="18">
        <v>11</v>
      </c>
      <c r="E15" s="18">
        <v>12.3</v>
      </c>
      <c r="F15" s="18">
        <v>10.8</v>
      </c>
      <c r="G15" s="18">
        <v>11.1</v>
      </c>
    </row>
    <row r="16" spans="2:7" x14ac:dyDescent="0.2">
      <c r="B16" s="17">
        <v>2014</v>
      </c>
      <c r="C16" s="18">
        <v>10.4</v>
      </c>
      <c r="D16" s="18">
        <v>7.1</v>
      </c>
      <c r="E16" s="18">
        <v>36.200000000000003</v>
      </c>
      <c r="F16" s="18">
        <v>17.8</v>
      </c>
      <c r="G16" s="18">
        <v>11.7</v>
      </c>
    </row>
    <row r="17" spans="2:7" x14ac:dyDescent="0.2">
      <c r="B17" s="17">
        <v>2015</v>
      </c>
      <c r="C17" s="18">
        <v>14</v>
      </c>
      <c r="D17" s="18">
        <v>8</v>
      </c>
      <c r="E17" s="18">
        <v>25.2</v>
      </c>
      <c r="F17" s="18">
        <v>13.1</v>
      </c>
      <c r="G17" s="18">
        <v>12.1</v>
      </c>
    </row>
    <row r="18" spans="2:7" x14ac:dyDescent="0.2">
      <c r="B18" s="17">
        <v>2016</v>
      </c>
      <c r="C18" s="18">
        <v>11.8</v>
      </c>
      <c r="D18" s="18">
        <v>5.7</v>
      </c>
      <c r="E18" s="18">
        <v>12.6</v>
      </c>
      <c r="F18" s="18">
        <v>3.9</v>
      </c>
      <c r="G18" s="18">
        <v>7.8</v>
      </c>
    </row>
    <row r="19" spans="2:7" x14ac:dyDescent="0.2">
      <c r="B19" s="17">
        <v>2017</v>
      </c>
      <c r="C19" s="18">
        <v>12</v>
      </c>
      <c r="D19" s="18">
        <v>6.7</v>
      </c>
      <c r="E19" s="18">
        <v>8</v>
      </c>
      <c r="F19" s="18">
        <v>9.6</v>
      </c>
      <c r="G19" s="18">
        <v>7</v>
      </c>
    </row>
    <row r="20" spans="2:7" x14ac:dyDescent="0.2">
      <c r="B20" s="20">
        <v>2018</v>
      </c>
      <c r="C20" s="22">
        <v>10.199999999999999</v>
      </c>
      <c r="D20" s="22">
        <v>7.4</v>
      </c>
      <c r="E20" s="22">
        <v>9.6</v>
      </c>
      <c r="F20" s="22">
        <v>5.0999999999999996</v>
      </c>
      <c r="G20" s="22">
        <v>7.3</v>
      </c>
    </row>
    <row r="21" spans="2:7" x14ac:dyDescent="0.2">
      <c r="B21" s="23" t="s">
        <v>5</v>
      </c>
      <c r="C21" s="24">
        <f>AVERAGE(C3:C20)</f>
        <v>10.788888888888888</v>
      </c>
      <c r="D21" s="24">
        <f t="shared" ref="D21:G21" si="0">AVERAGE(D3:D20)</f>
        <v>10.119999999999997</v>
      </c>
      <c r="E21" s="24">
        <f t="shared" si="0"/>
        <v>7.7822222222222228</v>
      </c>
      <c r="F21" s="24">
        <f t="shared" si="0"/>
        <v>8.1899999999999977</v>
      </c>
      <c r="G21" s="24">
        <f t="shared" si="0"/>
        <v>9.0750000000000011</v>
      </c>
    </row>
    <row r="22" spans="2:7" x14ac:dyDescent="0.2">
      <c r="B22" s="20" t="s">
        <v>6</v>
      </c>
      <c r="C22" s="21">
        <f>STDEV(C3:C20)</f>
        <v>5.2812875980020735</v>
      </c>
      <c r="D22" s="21">
        <f t="shared" ref="D22:G22" si="1">STDEV(D3:D20)</f>
        <v>5.0614273736588924</v>
      </c>
      <c r="E22" s="21">
        <f t="shared" si="1"/>
        <v>16.91253922409453</v>
      </c>
      <c r="F22" s="21">
        <f t="shared" si="1"/>
        <v>9.7892209628153548</v>
      </c>
      <c r="G22" s="21">
        <f t="shared" si="1"/>
        <v>8.637389481713992</v>
      </c>
    </row>
  </sheetData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3071E-A31D-2A46-B3F3-2D17D8E1D26B}">
  <sheetPr>
    <tabColor theme="4" tint="0.59999389629810485"/>
  </sheetPr>
  <dimension ref="B1:G7"/>
  <sheetViews>
    <sheetView showGridLines="0" workbookViewId="0">
      <selection activeCell="C36" sqref="C36"/>
    </sheetView>
  </sheetViews>
  <sheetFormatPr baseColWidth="10" defaultColWidth="11" defaultRowHeight="16" x14ac:dyDescent="0.2"/>
  <cols>
    <col min="1" max="1" width="6.1640625" customWidth="1"/>
  </cols>
  <sheetData>
    <row r="1" spans="2:7" ht="17" thickBot="1" x14ac:dyDescent="0.25"/>
    <row r="2" spans="2:7" x14ac:dyDescent="0.2">
      <c r="B2" s="33"/>
      <c r="C2" s="25" t="s">
        <v>0</v>
      </c>
      <c r="D2" s="25" t="s">
        <v>1</v>
      </c>
      <c r="E2" s="25" t="s">
        <v>2</v>
      </c>
      <c r="F2" s="25" t="s">
        <v>3</v>
      </c>
      <c r="G2" s="26" t="s">
        <v>4</v>
      </c>
    </row>
    <row r="3" spans="2:7" x14ac:dyDescent="0.2">
      <c r="B3" s="34" t="s">
        <v>0</v>
      </c>
      <c r="C3" s="28">
        <v>1</v>
      </c>
      <c r="D3" s="28">
        <v>0.77</v>
      </c>
      <c r="E3" s="28">
        <v>0.8</v>
      </c>
      <c r="F3" s="28">
        <v>0.54</v>
      </c>
      <c r="G3" s="29">
        <v>0.87</v>
      </c>
    </row>
    <row r="4" spans="2:7" x14ac:dyDescent="0.2">
      <c r="B4" s="27" t="s">
        <v>1</v>
      </c>
      <c r="C4" s="18">
        <v>0.77</v>
      </c>
      <c r="D4" s="18">
        <v>1</v>
      </c>
      <c r="E4" s="18">
        <v>0.47</v>
      </c>
      <c r="F4" s="18">
        <v>0.41</v>
      </c>
      <c r="G4" s="30">
        <v>0.82</v>
      </c>
    </row>
    <row r="5" spans="2:7" x14ac:dyDescent="0.2">
      <c r="B5" s="27" t="s">
        <v>2</v>
      </c>
      <c r="C5" s="28">
        <v>0.8</v>
      </c>
      <c r="D5" s="28">
        <v>0.47</v>
      </c>
      <c r="E5" s="28">
        <v>1</v>
      </c>
      <c r="F5" s="28">
        <v>0.75</v>
      </c>
      <c r="G5" s="29">
        <v>0.75</v>
      </c>
    </row>
    <row r="6" spans="2:7" x14ac:dyDescent="0.2">
      <c r="B6" s="27" t="s">
        <v>3</v>
      </c>
      <c r="C6" s="18">
        <v>0.54</v>
      </c>
      <c r="D6" s="18">
        <v>0.41</v>
      </c>
      <c r="E6" s="18">
        <v>0.75</v>
      </c>
      <c r="F6" s="18">
        <v>1</v>
      </c>
      <c r="G6" s="30">
        <v>0.61</v>
      </c>
    </row>
    <row r="7" spans="2:7" ht="17" thickBot="1" x14ac:dyDescent="0.25">
      <c r="B7" s="35" t="s">
        <v>21</v>
      </c>
      <c r="C7" s="36">
        <v>0.87</v>
      </c>
      <c r="D7" s="36">
        <v>0.82</v>
      </c>
      <c r="E7" s="36">
        <v>0.75</v>
      </c>
      <c r="F7" s="36">
        <v>0.61</v>
      </c>
      <c r="G7" s="37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A34C4-5A3A-984B-A32D-E9A3E82B127D}">
  <sheetPr>
    <tabColor theme="5" tint="0.59999389629810485"/>
  </sheetPr>
  <dimension ref="B2:C17"/>
  <sheetViews>
    <sheetView showGridLines="0" workbookViewId="0">
      <selection activeCell="H8" sqref="H8"/>
    </sheetView>
  </sheetViews>
  <sheetFormatPr baseColWidth="10" defaultColWidth="11" defaultRowHeight="16" x14ac:dyDescent="0.2"/>
  <cols>
    <col min="1" max="1" width="5.6640625" customWidth="1"/>
    <col min="2" max="2" width="19.1640625" customWidth="1"/>
    <col min="3" max="3" width="14.33203125" customWidth="1"/>
  </cols>
  <sheetData>
    <row r="2" spans="2:3" x14ac:dyDescent="0.2">
      <c r="B2" s="39" t="s">
        <v>19</v>
      </c>
      <c r="C2" s="39" t="s">
        <v>20</v>
      </c>
    </row>
    <row r="3" spans="2:3" x14ac:dyDescent="0.2">
      <c r="B3" s="40" t="s">
        <v>1</v>
      </c>
      <c r="C3" s="41">
        <v>0.187</v>
      </c>
    </row>
    <row r="4" spans="2:3" x14ac:dyDescent="0.2">
      <c r="B4" s="40" t="s">
        <v>7</v>
      </c>
      <c r="C4" s="41">
        <v>0.18</v>
      </c>
    </row>
    <row r="5" spans="2:3" x14ac:dyDescent="0.2">
      <c r="B5" s="40" t="s">
        <v>8</v>
      </c>
      <c r="C5" s="41">
        <v>0.152</v>
      </c>
    </row>
    <row r="6" spans="2:3" x14ac:dyDescent="0.2">
      <c r="B6" s="40" t="s">
        <v>9</v>
      </c>
      <c r="C6" s="41">
        <v>5.0000000000000001E-3</v>
      </c>
    </row>
    <row r="7" spans="2:3" x14ac:dyDescent="0.2">
      <c r="B7" s="40" t="s">
        <v>2</v>
      </c>
      <c r="C7" s="41">
        <v>0.24299999999999999</v>
      </c>
    </row>
    <row r="8" spans="2:3" x14ac:dyDescent="0.2">
      <c r="B8" s="40" t="s">
        <v>10</v>
      </c>
      <c r="C8" s="41">
        <v>0.09</v>
      </c>
    </row>
    <row r="9" spans="2:3" x14ac:dyDescent="0.2">
      <c r="B9" s="40" t="s">
        <v>11</v>
      </c>
      <c r="C9" s="41">
        <v>0.10199999999999999</v>
      </c>
    </row>
    <row r="10" spans="2:3" x14ac:dyDescent="0.2">
      <c r="B10" s="40" t="s">
        <v>12</v>
      </c>
      <c r="C10" s="41">
        <v>0.152</v>
      </c>
    </row>
    <row r="11" spans="2:3" x14ac:dyDescent="0.2">
      <c r="B11" s="40" t="s">
        <v>13</v>
      </c>
      <c r="C11" s="41">
        <v>0.105</v>
      </c>
    </row>
    <row r="12" spans="2:3" x14ac:dyDescent="0.2">
      <c r="B12" s="40" t="s">
        <v>14</v>
      </c>
      <c r="C12" s="41">
        <v>0.17199999999999999</v>
      </c>
    </row>
    <row r="13" spans="2:3" x14ac:dyDescent="0.2">
      <c r="B13" s="40" t="s">
        <v>15</v>
      </c>
      <c r="C13" s="41">
        <v>0.30099999999999999</v>
      </c>
    </row>
    <row r="14" spans="2:3" x14ac:dyDescent="0.2">
      <c r="B14" s="40" t="s">
        <v>16</v>
      </c>
      <c r="C14" s="41">
        <v>0.127</v>
      </c>
    </row>
    <row r="15" spans="2:3" x14ac:dyDescent="0.2">
      <c r="B15" s="40" t="s">
        <v>17</v>
      </c>
      <c r="C15" s="41">
        <v>5.2000000000000005E-2</v>
      </c>
    </row>
    <row r="16" spans="2:3" x14ac:dyDescent="0.2">
      <c r="B16" s="40" t="s">
        <v>3</v>
      </c>
      <c r="C16" s="41">
        <v>0.191</v>
      </c>
    </row>
    <row r="17" spans="2:3" x14ac:dyDescent="0.2">
      <c r="B17" s="40" t="s">
        <v>18</v>
      </c>
      <c r="C17" s="41">
        <v>0.2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AC11F-8241-134E-BA6C-F8BEFEEF3DDF}">
  <sheetPr>
    <tabColor theme="4" tint="0.59999389629810485"/>
  </sheetPr>
  <dimension ref="B1:I7"/>
  <sheetViews>
    <sheetView showGridLines="0" workbookViewId="0">
      <selection activeCell="B3" sqref="B3:B7"/>
    </sheetView>
  </sheetViews>
  <sheetFormatPr baseColWidth="10" defaultColWidth="11" defaultRowHeight="16" x14ac:dyDescent="0.2"/>
  <cols>
    <col min="1" max="1" width="6.5" customWidth="1"/>
  </cols>
  <sheetData>
    <row r="1" spans="2:9" ht="17" thickBot="1" x14ac:dyDescent="0.25"/>
    <row r="2" spans="2:9" x14ac:dyDescent="0.2">
      <c r="B2" s="47" t="s">
        <v>22</v>
      </c>
      <c r="C2" s="42">
        <v>2002</v>
      </c>
      <c r="D2" s="42">
        <v>2003</v>
      </c>
      <c r="E2" s="42">
        <v>2004</v>
      </c>
      <c r="F2" s="42">
        <v>2005</v>
      </c>
      <c r="G2" s="42">
        <v>2006</v>
      </c>
      <c r="H2" s="42">
        <v>2007</v>
      </c>
      <c r="I2" s="43" t="s">
        <v>5</v>
      </c>
    </row>
    <row r="3" spans="2:9" x14ac:dyDescent="0.2">
      <c r="B3" s="48" t="s">
        <v>23</v>
      </c>
      <c r="C3" s="44">
        <v>-1.4</v>
      </c>
      <c r="D3" s="44">
        <v>-0.9</v>
      </c>
      <c r="E3" s="44">
        <v>8</v>
      </c>
      <c r="F3" s="44">
        <v>23.6</v>
      </c>
      <c r="G3" s="44">
        <v>9.3000000000000007</v>
      </c>
      <c r="H3" s="44">
        <v>5.2</v>
      </c>
      <c r="I3" s="51">
        <v>7.3</v>
      </c>
    </row>
    <row r="4" spans="2:9" x14ac:dyDescent="0.2">
      <c r="B4" s="49" t="s">
        <v>24</v>
      </c>
      <c r="C4" s="45">
        <v>16.100000000000001</v>
      </c>
      <c r="D4" s="45">
        <v>19.100000000000001</v>
      </c>
      <c r="E4" s="45">
        <v>16.399999999999999</v>
      </c>
      <c r="F4" s="45">
        <v>7.5</v>
      </c>
      <c r="G4" s="45">
        <v>7.3</v>
      </c>
      <c r="H4" s="45">
        <v>14.7</v>
      </c>
      <c r="I4" s="52">
        <v>13.5</v>
      </c>
    </row>
    <row r="5" spans="2:9" x14ac:dyDescent="0.2">
      <c r="B5" s="49" t="s">
        <v>25</v>
      </c>
      <c r="C5" s="44">
        <v>5</v>
      </c>
      <c r="D5" s="44">
        <v>7.1</v>
      </c>
      <c r="E5" s="44">
        <v>8.6</v>
      </c>
      <c r="F5" s="44">
        <v>20.100000000000001</v>
      </c>
      <c r="G5" s="44">
        <v>22</v>
      </c>
      <c r="H5" s="44">
        <v>16.600000000000001</v>
      </c>
      <c r="I5" s="51">
        <v>13.2</v>
      </c>
    </row>
    <row r="6" spans="2:9" x14ac:dyDescent="0.2">
      <c r="B6" s="49" t="s">
        <v>26</v>
      </c>
      <c r="C6" s="45">
        <v>5.2</v>
      </c>
      <c r="D6" s="45">
        <v>7.5</v>
      </c>
      <c r="E6" s="45">
        <v>11.3</v>
      </c>
      <c r="F6" s="45">
        <v>23.4</v>
      </c>
      <c r="G6" s="45">
        <v>23.3</v>
      </c>
      <c r="H6" s="45">
        <v>9.3000000000000007</v>
      </c>
      <c r="I6" s="52">
        <v>13.3</v>
      </c>
    </row>
    <row r="7" spans="2:9" ht="17" thickBot="1" x14ac:dyDescent="0.25">
      <c r="B7" s="50" t="s">
        <v>27</v>
      </c>
      <c r="C7" s="46">
        <v>7.1</v>
      </c>
      <c r="D7" s="46">
        <v>7.8</v>
      </c>
      <c r="E7" s="46">
        <v>11.4</v>
      </c>
      <c r="F7" s="46">
        <v>15.5</v>
      </c>
      <c r="G7" s="46">
        <v>14.9</v>
      </c>
      <c r="H7" s="46">
        <v>11.5</v>
      </c>
      <c r="I7" s="53">
        <v>11.4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D4328-92A5-BB4A-8440-7CAF6232EB16}">
  <sheetPr>
    <tabColor theme="4" tint="0.59999389629810485"/>
  </sheetPr>
  <dimension ref="B2:H66"/>
  <sheetViews>
    <sheetView showGridLines="0" workbookViewId="0">
      <selection activeCell="B17" sqref="B17:C19"/>
    </sheetView>
  </sheetViews>
  <sheetFormatPr baseColWidth="10" defaultColWidth="11" defaultRowHeight="16" x14ac:dyDescent="0.2"/>
  <cols>
    <col min="1" max="1" width="6.1640625" customWidth="1"/>
    <col min="2" max="2" width="27.6640625" customWidth="1"/>
    <col min="3" max="3" width="16" customWidth="1"/>
    <col min="4" max="4" width="11.83203125" bestFit="1" customWidth="1"/>
    <col min="5" max="5" width="12.33203125" bestFit="1" customWidth="1"/>
    <col min="6" max="6" width="12.5" customWidth="1"/>
    <col min="7" max="7" width="13" customWidth="1"/>
    <col min="8" max="8" width="11.83203125" bestFit="1" customWidth="1"/>
  </cols>
  <sheetData>
    <row r="2" spans="2:4" ht="17" thickBot="1" x14ac:dyDescent="0.25">
      <c r="B2" s="2" t="s">
        <v>35</v>
      </c>
    </row>
    <row r="3" spans="2:4" x14ac:dyDescent="0.2">
      <c r="B3" s="56" t="s">
        <v>28</v>
      </c>
      <c r="C3" s="61">
        <v>49300</v>
      </c>
      <c r="D3" s="3"/>
    </row>
    <row r="4" spans="2:4" x14ac:dyDescent="0.2">
      <c r="B4" s="58" t="s">
        <v>29</v>
      </c>
      <c r="C4" s="62">
        <v>26</v>
      </c>
    </row>
    <row r="5" spans="2:4" x14ac:dyDescent="0.2">
      <c r="B5" s="58" t="s">
        <v>30</v>
      </c>
      <c r="C5" s="54">
        <f>C3*C4*12</f>
        <v>15381600</v>
      </c>
      <c r="D5" s="4"/>
    </row>
    <row r="6" spans="2:4" x14ac:dyDescent="0.2">
      <c r="B6" s="58" t="s">
        <v>36</v>
      </c>
      <c r="C6" s="55">
        <v>15250000</v>
      </c>
      <c r="D6" s="4"/>
    </row>
    <row r="7" spans="2:4" x14ac:dyDescent="0.2">
      <c r="B7" s="58" t="s">
        <v>31</v>
      </c>
      <c r="C7" s="63">
        <v>0.09</v>
      </c>
      <c r="D7" s="1"/>
    </row>
    <row r="8" spans="2:4" x14ac:dyDescent="0.2">
      <c r="B8" s="58" t="s">
        <v>32</v>
      </c>
      <c r="C8" s="55">
        <f>C6/C7</f>
        <v>169444444.44444445</v>
      </c>
      <c r="D8" s="4"/>
    </row>
    <row r="9" spans="2:4" x14ac:dyDescent="0.2">
      <c r="B9" s="58" t="s">
        <v>36</v>
      </c>
      <c r="C9" s="54">
        <v>170000000</v>
      </c>
      <c r="D9" s="4"/>
    </row>
    <row r="10" spans="2:4" x14ac:dyDescent="0.2">
      <c r="B10" s="58" t="s">
        <v>33</v>
      </c>
      <c r="C10" s="55">
        <v>140000000</v>
      </c>
      <c r="D10" s="4"/>
    </row>
    <row r="11" spans="2:4" x14ac:dyDescent="0.2">
      <c r="B11" s="58" t="s">
        <v>34</v>
      </c>
      <c r="C11" s="54">
        <f>C9-C10</f>
        <v>30000000</v>
      </c>
      <c r="D11" s="4"/>
    </row>
    <row r="12" spans="2:4" x14ac:dyDescent="0.2">
      <c r="B12" s="58" t="s">
        <v>38</v>
      </c>
      <c r="C12" s="64">
        <v>0.22</v>
      </c>
      <c r="D12" s="1"/>
    </row>
    <row r="13" spans="2:4" ht="17" thickBot="1" x14ac:dyDescent="0.25">
      <c r="B13" s="59" t="s">
        <v>37</v>
      </c>
      <c r="C13" s="65">
        <f>C11/C10</f>
        <v>0.21428571428571427</v>
      </c>
      <c r="D13" s="1"/>
    </row>
    <row r="16" spans="2:4" ht="17" thickBot="1" x14ac:dyDescent="0.25">
      <c r="B16" s="2" t="s">
        <v>46</v>
      </c>
    </row>
    <row r="17" spans="2:6" x14ac:dyDescent="0.2">
      <c r="B17" s="56" t="s">
        <v>40</v>
      </c>
      <c r="C17" s="57">
        <v>150000000</v>
      </c>
    </row>
    <row r="18" spans="2:6" x14ac:dyDescent="0.2">
      <c r="B18" s="58" t="s">
        <v>54</v>
      </c>
      <c r="C18" s="55">
        <f>13750000</f>
        <v>13750000</v>
      </c>
    </row>
    <row r="19" spans="2:6" ht="17" thickBot="1" x14ac:dyDescent="0.25">
      <c r="B19" s="59" t="s">
        <v>55</v>
      </c>
      <c r="C19" s="60">
        <v>160000000</v>
      </c>
    </row>
    <row r="20" spans="2:6" x14ac:dyDescent="0.2">
      <c r="B20" s="7"/>
      <c r="C20" s="4"/>
    </row>
    <row r="21" spans="2:6" x14ac:dyDescent="0.2">
      <c r="B21" s="70" t="s">
        <v>39</v>
      </c>
      <c r="C21" s="70" t="s">
        <v>47</v>
      </c>
      <c r="D21" s="70" t="s">
        <v>41</v>
      </c>
      <c r="E21" s="70" t="s">
        <v>42</v>
      </c>
      <c r="F21" s="70" t="s">
        <v>43</v>
      </c>
    </row>
    <row r="22" spans="2:6" x14ac:dyDescent="0.2">
      <c r="B22" s="68">
        <v>2007</v>
      </c>
      <c r="C22" s="69">
        <f>-C17/3</f>
        <v>-50000000</v>
      </c>
      <c r="D22" s="68"/>
      <c r="E22" s="68"/>
      <c r="F22" s="69">
        <f>C22+D22-E22</f>
        <v>-50000000</v>
      </c>
    </row>
    <row r="23" spans="2:6" x14ac:dyDescent="0.2">
      <c r="B23" s="68">
        <v>2008</v>
      </c>
      <c r="C23" s="69">
        <f>C22</f>
        <v>-50000000</v>
      </c>
      <c r="D23" s="68"/>
      <c r="E23" s="68"/>
      <c r="F23" s="69">
        <f>C23+D23-E23</f>
        <v>-50000000</v>
      </c>
    </row>
    <row r="24" spans="2:6" x14ac:dyDescent="0.2">
      <c r="B24" s="68">
        <v>2009</v>
      </c>
      <c r="C24" s="69">
        <f>C23</f>
        <v>-50000000</v>
      </c>
      <c r="D24" s="68"/>
      <c r="E24" s="68"/>
      <c r="F24" s="69">
        <f t="shared" ref="F24" si="0">C24+D24-E24</f>
        <v>-50000000</v>
      </c>
    </row>
    <row r="25" spans="2:6" x14ac:dyDescent="0.2">
      <c r="B25" s="68">
        <v>2010</v>
      </c>
      <c r="C25" s="68"/>
      <c r="D25" s="69">
        <f>C18</f>
        <v>13750000</v>
      </c>
      <c r="E25" s="69">
        <f>C19</f>
        <v>160000000</v>
      </c>
      <c r="F25" s="69">
        <f>C25+D25+E25</f>
        <v>173750000</v>
      </c>
    </row>
    <row r="26" spans="2:6" x14ac:dyDescent="0.2">
      <c r="E26" s="38" t="s">
        <v>44</v>
      </c>
      <c r="F26" s="83">
        <f>IRR(F22:F25,0.1)</f>
        <v>7.5314001457949864E-2</v>
      </c>
    </row>
    <row r="27" spans="2:6" x14ac:dyDescent="0.2">
      <c r="E27" s="38" t="s">
        <v>45</v>
      </c>
      <c r="F27" s="80">
        <f>F25/-(C22+C23+C24)</f>
        <v>1.1583333333333334</v>
      </c>
    </row>
    <row r="28" spans="2:6" x14ac:dyDescent="0.2">
      <c r="F28" s="5"/>
    </row>
    <row r="29" spans="2:6" x14ac:dyDescent="0.2">
      <c r="F29" s="5"/>
    </row>
    <row r="30" spans="2:6" ht="17" thickBot="1" x14ac:dyDescent="0.25">
      <c r="B30" s="2" t="s">
        <v>49</v>
      </c>
      <c r="F30" s="5"/>
    </row>
    <row r="31" spans="2:6" x14ac:dyDescent="0.2">
      <c r="B31" s="56" t="s">
        <v>50</v>
      </c>
      <c r="C31" s="66">
        <v>0.65</v>
      </c>
    </row>
    <row r="32" spans="2:6" x14ac:dyDescent="0.2">
      <c r="B32" s="58" t="s">
        <v>51</v>
      </c>
      <c r="C32" s="64">
        <v>0.15</v>
      </c>
    </row>
    <row r="33" spans="2:8" x14ac:dyDescent="0.2">
      <c r="B33" s="58" t="s">
        <v>52</v>
      </c>
      <c r="C33" s="54">
        <f>C17*C31</f>
        <v>97500000</v>
      </c>
      <c r="D33" s="7"/>
      <c r="E33" s="7"/>
      <c r="F33" s="7"/>
      <c r="G33" s="7"/>
      <c r="H33" s="7"/>
    </row>
    <row r="34" spans="2:8" ht="17" thickBot="1" x14ac:dyDescent="0.25">
      <c r="B34" s="59" t="s">
        <v>53</v>
      </c>
      <c r="C34" s="67">
        <f>C17*(1-C31)</f>
        <v>52500000</v>
      </c>
      <c r="D34" s="7"/>
      <c r="E34" s="7"/>
      <c r="F34" s="7"/>
      <c r="G34" s="7"/>
      <c r="H34" s="7"/>
    </row>
    <row r="35" spans="2:8" x14ac:dyDescent="0.2">
      <c r="B35" s="7"/>
      <c r="C35" s="9"/>
      <c r="D35" s="7"/>
      <c r="E35" s="7"/>
      <c r="F35" s="7"/>
      <c r="G35" s="7"/>
      <c r="H35" s="7"/>
    </row>
    <row r="36" spans="2:8" x14ac:dyDescent="0.2">
      <c r="B36" s="70" t="s">
        <v>39</v>
      </c>
      <c r="C36" s="70" t="s">
        <v>47</v>
      </c>
      <c r="D36" s="70" t="s">
        <v>41</v>
      </c>
      <c r="E36" s="70" t="s">
        <v>48</v>
      </c>
      <c r="F36" s="70" t="s">
        <v>42</v>
      </c>
      <c r="G36" s="70" t="s">
        <v>43</v>
      </c>
      <c r="H36" s="7"/>
    </row>
    <row r="37" spans="2:8" x14ac:dyDescent="0.2">
      <c r="B37" s="71">
        <v>2007</v>
      </c>
      <c r="C37" s="72">
        <f>-C34/3</f>
        <v>-17500000</v>
      </c>
      <c r="D37" s="71"/>
      <c r="E37" s="72">
        <f>C33*C32</f>
        <v>14625000</v>
      </c>
      <c r="F37" s="71"/>
      <c r="G37" s="72">
        <f>C37+D37-E37</f>
        <v>-32125000</v>
      </c>
      <c r="H37" s="7"/>
    </row>
    <row r="38" spans="2:8" x14ac:dyDescent="0.2">
      <c r="B38" s="71">
        <v>2008</v>
      </c>
      <c r="C38" s="72">
        <f>C37</f>
        <v>-17500000</v>
      </c>
      <c r="D38" s="71"/>
      <c r="E38" s="72">
        <f>E37</f>
        <v>14625000</v>
      </c>
      <c r="F38" s="71"/>
      <c r="G38" s="72">
        <f t="shared" ref="G38:G39" si="1">C38+D38-E38</f>
        <v>-32125000</v>
      </c>
      <c r="H38" s="7"/>
    </row>
    <row r="39" spans="2:8" x14ac:dyDescent="0.2">
      <c r="B39" s="71">
        <v>2009</v>
      </c>
      <c r="C39" s="72">
        <f>C38</f>
        <v>-17500000</v>
      </c>
      <c r="D39" s="71"/>
      <c r="E39" s="72">
        <f>E38</f>
        <v>14625000</v>
      </c>
      <c r="F39" s="71"/>
      <c r="G39" s="72">
        <f t="shared" si="1"/>
        <v>-32125000</v>
      </c>
      <c r="H39" s="7"/>
    </row>
    <row r="40" spans="2:8" x14ac:dyDescent="0.2">
      <c r="B40" s="71">
        <v>2010</v>
      </c>
      <c r="C40" s="71"/>
      <c r="D40" s="72">
        <f>C18</f>
        <v>13750000</v>
      </c>
      <c r="E40" s="71"/>
      <c r="F40" s="72">
        <f>C19-C33</f>
        <v>62500000</v>
      </c>
      <c r="G40" s="72">
        <f>C40+D40-E40+F40</f>
        <v>76250000</v>
      </c>
      <c r="H40" s="7"/>
    </row>
    <row r="41" spans="2:8" x14ac:dyDescent="0.2">
      <c r="B41" s="7"/>
      <c r="C41" s="7"/>
      <c r="D41" s="7"/>
      <c r="E41" s="2"/>
      <c r="F41" s="39" t="s">
        <v>44</v>
      </c>
      <c r="G41" s="81">
        <f>-IRR(G37:G40,0.1)</f>
        <v>0.11262852868068984</v>
      </c>
      <c r="H41" s="7"/>
    </row>
    <row r="42" spans="2:8" x14ac:dyDescent="0.2">
      <c r="B42" s="7"/>
      <c r="C42" s="7"/>
      <c r="D42" s="7"/>
      <c r="E42" s="2"/>
      <c r="F42" s="39" t="s">
        <v>45</v>
      </c>
      <c r="G42" s="82">
        <f>-G40/(G37+G38+G39)</f>
        <v>0.79118028534370943</v>
      </c>
      <c r="H42" s="7"/>
    </row>
    <row r="43" spans="2:8" x14ac:dyDescent="0.2">
      <c r="B43" s="7"/>
      <c r="C43" s="6"/>
      <c r="D43" s="7"/>
      <c r="E43" s="7"/>
      <c r="F43" s="7"/>
      <c r="G43" s="7"/>
      <c r="H43" s="7"/>
    </row>
    <row r="44" spans="2:8" x14ac:dyDescent="0.2">
      <c r="B44" s="2" t="s">
        <v>57</v>
      </c>
      <c r="C44" s="7"/>
      <c r="D44" s="7"/>
      <c r="E44" s="7"/>
      <c r="F44" s="7"/>
      <c r="G44" s="7"/>
      <c r="H44" s="7"/>
    </row>
    <row r="45" spans="2:8" x14ac:dyDescent="0.2">
      <c r="B45" s="71" t="s">
        <v>56</v>
      </c>
      <c r="C45" s="71" t="s">
        <v>40</v>
      </c>
      <c r="D45" s="71" t="s">
        <v>41</v>
      </c>
      <c r="E45" s="71" t="s">
        <v>42</v>
      </c>
      <c r="F45" s="71" t="s">
        <v>43</v>
      </c>
      <c r="G45" s="7"/>
      <c r="H45" s="7"/>
    </row>
    <row r="46" spans="2:8" x14ac:dyDescent="0.2">
      <c r="B46" s="71">
        <v>2007</v>
      </c>
      <c r="C46" s="72">
        <f>C22</f>
        <v>-50000000</v>
      </c>
      <c r="D46" s="71"/>
      <c r="E46" s="71"/>
      <c r="F46" s="72">
        <f>C46+D46+E46</f>
        <v>-50000000</v>
      </c>
      <c r="G46" s="7"/>
      <c r="H46" s="7"/>
    </row>
    <row r="47" spans="2:8" x14ac:dyDescent="0.2">
      <c r="B47" s="71">
        <v>2008</v>
      </c>
      <c r="C47" s="72">
        <f>C23</f>
        <v>-50000000</v>
      </c>
      <c r="D47" s="71"/>
      <c r="E47" s="71"/>
      <c r="F47" s="72">
        <f t="shared" ref="F47:F51" si="2">C47+D47+E47</f>
        <v>-50000000</v>
      </c>
      <c r="G47" s="7"/>
      <c r="H47" s="7"/>
    </row>
    <row r="48" spans="2:8" x14ac:dyDescent="0.2">
      <c r="B48" s="71">
        <v>2009</v>
      </c>
      <c r="C48" s="72">
        <f>C24</f>
        <v>-50000000</v>
      </c>
      <c r="D48" s="71"/>
      <c r="E48" s="71"/>
      <c r="F48" s="72">
        <f t="shared" si="2"/>
        <v>-50000000</v>
      </c>
      <c r="G48" s="7"/>
      <c r="H48" s="7"/>
    </row>
    <row r="49" spans="2:8" x14ac:dyDescent="0.2">
      <c r="B49" s="71">
        <v>2010</v>
      </c>
      <c r="C49" s="71"/>
      <c r="D49" s="72">
        <f>D25</f>
        <v>13750000</v>
      </c>
      <c r="E49" s="71"/>
      <c r="F49" s="72">
        <f t="shared" si="2"/>
        <v>13750000</v>
      </c>
      <c r="G49" s="7"/>
      <c r="H49" s="7"/>
    </row>
    <row r="50" spans="2:8" x14ac:dyDescent="0.2">
      <c r="B50" s="71">
        <v>2011</v>
      </c>
      <c r="C50" s="71"/>
      <c r="D50" s="72">
        <v>12500000</v>
      </c>
      <c r="E50" s="71"/>
      <c r="F50" s="72">
        <f t="shared" si="2"/>
        <v>12500000</v>
      </c>
      <c r="G50" s="7"/>
      <c r="H50" s="7"/>
    </row>
    <row r="51" spans="2:8" x14ac:dyDescent="0.2">
      <c r="B51" s="71">
        <v>2012</v>
      </c>
      <c r="C51" s="71"/>
      <c r="D51" s="72">
        <v>10000000</v>
      </c>
      <c r="E51" s="72">
        <v>150000000</v>
      </c>
      <c r="F51" s="72">
        <f t="shared" si="2"/>
        <v>160000000</v>
      </c>
      <c r="G51" s="7"/>
      <c r="H51" s="7"/>
    </row>
    <row r="52" spans="2:8" x14ac:dyDescent="0.2">
      <c r="B52" s="7"/>
      <c r="C52" s="7"/>
      <c r="D52" s="7"/>
      <c r="E52" s="39" t="s">
        <v>44</v>
      </c>
      <c r="F52" s="81">
        <f>IRR(F46:F51,0.1)</f>
        <v>5.869510193053884E-2</v>
      </c>
      <c r="G52" s="7"/>
      <c r="H52" s="7"/>
    </row>
    <row r="53" spans="2:8" x14ac:dyDescent="0.2">
      <c r="B53" s="7"/>
      <c r="C53" s="7"/>
      <c r="D53" s="7"/>
      <c r="E53" s="39" t="s">
        <v>45</v>
      </c>
      <c r="F53" s="82">
        <f>(F51+F50+F49)/-(F46+F47+F48)</f>
        <v>1.2416666666666667</v>
      </c>
      <c r="G53" s="7"/>
      <c r="H53" s="9"/>
    </row>
    <row r="54" spans="2:8" x14ac:dyDescent="0.2">
      <c r="B54" s="7"/>
      <c r="C54" s="7"/>
      <c r="D54" s="7"/>
      <c r="E54" s="7"/>
      <c r="F54" s="7"/>
      <c r="G54" s="7"/>
      <c r="H54" s="7"/>
    </row>
    <row r="55" spans="2:8" x14ac:dyDescent="0.2">
      <c r="B55" s="2"/>
      <c r="C55" s="7"/>
      <c r="D55" s="7"/>
      <c r="E55" s="7"/>
      <c r="F55" s="7"/>
      <c r="G55" s="7"/>
      <c r="H55" s="7"/>
    </row>
    <row r="56" spans="2:8" x14ac:dyDescent="0.2">
      <c r="B56" s="2" t="s">
        <v>58</v>
      </c>
      <c r="C56" s="7"/>
      <c r="D56" s="7"/>
      <c r="E56" s="7"/>
      <c r="F56" s="7"/>
      <c r="G56" s="7"/>
      <c r="H56" s="7"/>
    </row>
    <row r="57" spans="2:8" x14ac:dyDescent="0.2">
      <c r="B57" s="77" t="s">
        <v>39</v>
      </c>
      <c r="C57" s="77" t="s">
        <v>47</v>
      </c>
      <c r="D57" s="77" t="s">
        <v>41</v>
      </c>
      <c r="E57" s="77" t="s">
        <v>48</v>
      </c>
      <c r="F57" s="77" t="s">
        <v>42</v>
      </c>
      <c r="G57" s="77" t="s">
        <v>43</v>
      </c>
      <c r="H57" s="7"/>
    </row>
    <row r="58" spans="2:8" x14ac:dyDescent="0.2">
      <c r="B58" s="74">
        <v>2007</v>
      </c>
      <c r="C58" s="75">
        <f>C37</f>
        <v>-17500000</v>
      </c>
      <c r="D58" s="76"/>
      <c r="E58" s="75">
        <f>E37</f>
        <v>14625000</v>
      </c>
      <c r="F58" s="76"/>
      <c r="G58" s="75">
        <f>C58+D58-E58+F58</f>
        <v>-32125000</v>
      </c>
      <c r="H58" s="7"/>
    </row>
    <row r="59" spans="2:8" x14ac:dyDescent="0.2">
      <c r="B59" s="74">
        <v>2008</v>
      </c>
      <c r="C59" s="75">
        <f>C38</f>
        <v>-17500000</v>
      </c>
      <c r="D59" s="76"/>
      <c r="E59" s="75">
        <f>E58</f>
        <v>14625000</v>
      </c>
      <c r="F59" s="76"/>
      <c r="G59" s="75">
        <f t="shared" ref="G59:G63" si="3">C59+D59-E59+F59</f>
        <v>-32125000</v>
      </c>
      <c r="H59" s="7"/>
    </row>
    <row r="60" spans="2:8" x14ac:dyDescent="0.2">
      <c r="B60" s="74">
        <v>2009</v>
      </c>
      <c r="C60" s="75">
        <f>C39</f>
        <v>-17500000</v>
      </c>
      <c r="D60" s="76"/>
      <c r="E60" s="75">
        <f t="shared" ref="E60:E63" si="4">E59</f>
        <v>14625000</v>
      </c>
      <c r="F60" s="76"/>
      <c r="G60" s="75">
        <f t="shared" si="3"/>
        <v>-32125000</v>
      </c>
      <c r="H60" s="7"/>
    </row>
    <row r="61" spans="2:8" x14ac:dyDescent="0.2">
      <c r="B61" s="74">
        <v>2010</v>
      </c>
      <c r="C61" s="76"/>
      <c r="D61" s="75">
        <f>D49</f>
        <v>13750000</v>
      </c>
      <c r="E61" s="75">
        <f t="shared" si="4"/>
        <v>14625000</v>
      </c>
      <c r="F61" s="76"/>
      <c r="G61" s="75">
        <f t="shared" si="3"/>
        <v>-875000</v>
      </c>
      <c r="H61" s="7"/>
    </row>
    <row r="62" spans="2:8" x14ac:dyDescent="0.2">
      <c r="B62" s="74">
        <v>2011</v>
      </c>
      <c r="C62" s="76"/>
      <c r="D62" s="75">
        <f t="shared" ref="D62:D63" si="5">D50</f>
        <v>12500000</v>
      </c>
      <c r="E62" s="75">
        <f t="shared" si="4"/>
        <v>14625000</v>
      </c>
      <c r="F62" s="76"/>
      <c r="G62" s="75">
        <f t="shared" si="3"/>
        <v>-2125000</v>
      </c>
      <c r="H62" s="7"/>
    </row>
    <row r="63" spans="2:8" x14ac:dyDescent="0.2">
      <c r="B63" s="74">
        <v>2012</v>
      </c>
      <c r="C63" s="76"/>
      <c r="D63" s="75">
        <f t="shared" si="5"/>
        <v>10000000</v>
      </c>
      <c r="E63" s="75">
        <f t="shared" si="4"/>
        <v>14625000</v>
      </c>
      <c r="F63" s="75">
        <f>52500000</f>
        <v>52500000</v>
      </c>
      <c r="G63" s="75">
        <f t="shared" si="3"/>
        <v>47875000</v>
      </c>
      <c r="H63" s="7"/>
    </row>
    <row r="64" spans="2:8" x14ac:dyDescent="0.2">
      <c r="B64" s="8"/>
      <c r="C64" s="8"/>
      <c r="D64" s="8"/>
      <c r="E64" s="8"/>
      <c r="F64" s="73" t="s">
        <v>44</v>
      </c>
      <c r="G64" s="78">
        <f>IRR(G58:G63,0.1)</f>
        <v>-0.17348312117672215</v>
      </c>
      <c r="H64" s="7"/>
    </row>
    <row r="65" spans="2:8" x14ac:dyDescent="0.2">
      <c r="B65" s="8"/>
      <c r="C65" s="8"/>
      <c r="D65" s="8"/>
      <c r="E65" s="8"/>
      <c r="F65" s="73" t="s">
        <v>45</v>
      </c>
      <c r="G65" s="79">
        <f>G63/-(G58+G59+G60+G61+G62)</f>
        <v>0.48176100628930818</v>
      </c>
      <c r="H65" s="7"/>
    </row>
    <row r="66" spans="2:8" x14ac:dyDescent="0.2">
      <c r="B66" s="7"/>
      <c r="C66" s="7"/>
      <c r="D66" s="7"/>
      <c r="E66" s="7"/>
      <c r="F66" s="7"/>
      <c r="G66" s="7"/>
      <c r="H66" s="7"/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107CD-505F-5744-96AE-9D00C877D121}">
  <sheetPr>
    <tabColor theme="4" tint="0.59999389629810485"/>
  </sheetPr>
  <dimension ref="B2:I78"/>
  <sheetViews>
    <sheetView showGridLines="0" topLeftCell="A7" workbookViewId="0">
      <selection activeCell="B12" sqref="B12:H16"/>
    </sheetView>
  </sheetViews>
  <sheetFormatPr baseColWidth="10" defaultColWidth="11" defaultRowHeight="16" x14ac:dyDescent="0.2"/>
  <cols>
    <col min="1" max="1" width="6" customWidth="1"/>
    <col min="2" max="2" width="21.5" customWidth="1"/>
    <col min="3" max="3" width="11.6640625" bestFit="1" customWidth="1"/>
    <col min="8" max="8" width="11.6640625" bestFit="1" customWidth="1"/>
  </cols>
  <sheetData>
    <row r="2" spans="2:8" x14ac:dyDescent="0.2">
      <c r="B2" s="2" t="s">
        <v>75</v>
      </c>
    </row>
    <row r="3" spans="2:8" ht="17" thickBot="1" x14ac:dyDescent="0.25">
      <c r="B3" s="2"/>
    </row>
    <row r="4" spans="2:8" x14ac:dyDescent="0.2">
      <c r="B4" s="56" t="s">
        <v>80</v>
      </c>
      <c r="C4" s="84">
        <f>1000</f>
        <v>1000</v>
      </c>
    </row>
    <row r="5" spans="2:8" x14ac:dyDescent="0.2">
      <c r="B5" s="58" t="s">
        <v>78</v>
      </c>
      <c r="C5" s="86">
        <v>0.12</v>
      </c>
    </row>
    <row r="6" spans="2:8" x14ac:dyDescent="0.2">
      <c r="B6" s="58" t="s">
        <v>79</v>
      </c>
      <c r="C6" s="85">
        <f>C4*C5</f>
        <v>120</v>
      </c>
    </row>
    <row r="7" spans="2:8" x14ac:dyDescent="0.2">
      <c r="B7" s="58" t="s">
        <v>76</v>
      </c>
      <c r="C7" s="86">
        <v>0.08</v>
      </c>
    </row>
    <row r="8" spans="2:8" ht="17" thickBot="1" x14ac:dyDescent="0.25">
      <c r="B8" s="59" t="s">
        <v>77</v>
      </c>
      <c r="C8" s="91">
        <f>0.12</f>
        <v>0.12</v>
      </c>
    </row>
    <row r="10" spans="2:8" x14ac:dyDescent="0.2">
      <c r="B10" s="2" t="s">
        <v>59</v>
      </c>
    </row>
    <row r="11" spans="2:8" x14ac:dyDescent="0.2">
      <c r="B11" s="2"/>
    </row>
    <row r="12" spans="2:8" x14ac:dyDescent="0.2">
      <c r="B12" s="90" t="s">
        <v>56</v>
      </c>
      <c r="C12" s="77" t="s">
        <v>140</v>
      </c>
      <c r="D12" s="77" t="s">
        <v>141</v>
      </c>
      <c r="E12" s="77" t="s">
        <v>142</v>
      </c>
      <c r="F12" s="77" t="s">
        <v>143</v>
      </c>
      <c r="G12" s="77" t="s">
        <v>144</v>
      </c>
      <c r="H12" s="77" t="s">
        <v>145</v>
      </c>
    </row>
    <row r="13" spans="2:8" x14ac:dyDescent="0.2">
      <c r="B13" s="95" t="s">
        <v>65</v>
      </c>
      <c r="C13" s="88">
        <f>-C4</f>
        <v>-1000</v>
      </c>
      <c r="D13" s="89">
        <f>C4*C5</f>
        <v>120</v>
      </c>
      <c r="E13" s="89">
        <f>D13*(1+$C$7)</f>
        <v>129.60000000000002</v>
      </c>
      <c r="F13" s="89">
        <f t="shared" ref="F13:G13" si="0">E13*(1+$C$7)</f>
        <v>139.96800000000005</v>
      </c>
      <c r="G13" s="89">
        <f t="shared" si="0"/>
        <v>151.16544000000005</v>
      </c>
      <c r="H13" s="89">
        <f>G13*(1+$C$7)</f>
        <v>163.25867520000006</v>
      </c>
    </row>
    <row r="14" spans="2:8" x14ac:dyDescent="0.2">
      <c r="B14" s="95" t="s">
        <v>66</v>
      </c>
      <c r="C14" s="74"/>
      <c r="D14" s="74"/>
      <c r="E14" s="74"/>
      <c r="F14" s="74"/>
      <c r="G14" s="74"/>
      <c r="H14" s="88">
        <f>H13*(1+C7)/C8</f>
        <v>1469.3280768000006</v>
      </c>
    </row>
    <row r="15" spans="2:8" x14ac:dyDescent="0.2">
      <c r="B15" s="95" t="s">
        <v>67</v>
      </c>
      <c r="C15" s="88">
        <f>C13+C14</f>
        <v>-1000</v>
      </c>
      <c r="D15" s="88">
        <f t="shared" ref="D15:H15" si="1">D13+D14</f>
        <v>120</v>
      </c>
      <c r="E15" s="88">
        <f t="shared" si="1"/>
        <v>129.60000000000002</v>
      </c>
      <c r="F15" s="88">
        <f t="shared" si="1"/>
        <v>139.96800000000005</v>
      </c>
      <c r="G15" s="88">
        <f t="shared" si="1"/>
        <v>151.16544000000005</v>
      </c>
      <c r="H15" s="88">
        <f t="shared" si="1"/>
        <v>1632.5867520000006</v>
      </c>
    </row>
    <row r="16" spans="2:8" x14ac:dyDescent="0.2">
      <c r="B16" s="95" t="s">
        <v>44</v>
      </c>
      <c r="C16" s="74"/>
      <c r="D16" s="74"/>
      <c r="E16" s="74"/>
      <c r="F16" s="74"/>
      <c r="G16" s="74"/>
      <c r="H16" s="87">
        <f>IRR(C15:H15,0.1)</f>
        <v>0.19999999999999996</v>
      </c>
    </row>
    <row r="17" spans="2:8" x14ac:dyDescent="0.2">
      <c r="B17" s="10"/>
      <c r="C17" s="10"/>
      <c r="D17" s="10"/>
      <c r="E17" s="10"/>
    </row>
    <row r="18" spans="2:8" x14ac:dyDescent="0.2">
      <c r="D18" s="10"/>
      <c r="E18" s="10"/>
    </row>
    <row r="19" spans="2:8" x14ac:dyDescent="0.2">
      <c r="B19" s="2" t="s">
        <v>60</v>
      </c>
    </row>
    <row r="20" spans="2:8" ht="17" thickBot="1" x14ac:dyDescent="0.25">
      <c r="B20" s="2"/>
    </row>
    <row r="21" spans="2:8" x14ac:dyDescent="0.2">
      <c r="B21" s="56" t="s">
        <v>50</v>
      </c>
      <c r="C21" s="93">
        <v>0.6</v>
      </c>
    </row>
    <row r="22" spans="2:8" x14ac:dyDescent="0.2">
      <c r="B22" s="58" t="s">
        <v>85</v>
      </c>
      <c r="C22" s="86">
        <v>0.14000000000000001</v>
      </c>
    </row>
    <row r="23" spans="2:8" x14ac:dyDescent="0.2">
      <c r="B23" s="58" t="s">
        <v>52</v>
      </c>
      <c r="C23" s="92">
        <f>C4*C21</f>
        <v>600</v>
      </c>
    </row>
    <row r="24" spans="2:8" ht="17" thickBot="1" x14ac:dyDescent="0.25">
      <c r="B24" s="59" t="s">
        <v>53</v>
      </c>
      <c r="C24" s="94">
        <f>C4*(1-C21)</f>
        <v>400</v>
      </c>
    </row>
    <row r="25" spans="2:8" ht="17" thickBot="1" x14ac:dyDescent="0.25">
      <c r="B25" s="2"/>
    </row>
    <row r="26" spans="2:8" x14ac:dyDescent="0.2">
      <c r="B26" s="128" t="s">
        <v>56</v>
      </c>
      <c r="C26" s="129">
        <v>0</v>
      </c>
      <c r="D26" s="129">
        <v>1</v>
      </c>
      <c r="E26" s="129">
        <v>2</v>
      </c>
      <c r="F26" s="129">
        <v>3</v>
      </c>
      <c r="G26" s="129">
        <v>4</v>
      </c>
      <c r="H26" s="130">
        <v>5</v>
      </c>
    </row>
    <row r="27" spans="2:8" x14ac:dyDescent="0.2">
      <c r="B27" s="96" t="s">
        <v>67</v>
      </c>
      <c r="C27" s="97">
        <f>-C24</f>
        <v>-400</v>
      </c>
      <c r="D27" s="98">
        <f>D13</f>
        <v>120</v>
      </c>
      <c r="E27" s="98">
        <f t="shared" ref="E27:G27" si="2">E13</f>
        <v>129.60000000000002</v>
      </c>
      <c r="F27" s="98">
        <f t="shared" si="2"/>
        <v>139.96800000000005</v>
      </c>
      <c r="G27" s="98">
        <f t="shared" si="2"/>
        <v>151.16544000000005</v>
      </c>
      <c r="H27" s="99">
        <f>H15-C23</f>
        <v>1032.5867520000006</v>
      </c>
    </row>
    <row r="28" spans="2:8" x14ac:dyDescent="0.2">
      <c r="B28" s="96" t="s">
        <v>48</v>
      </c>
      <c r="C28" s="100"/>
      <c r="D28" s="100">
        <v>84</v>
      </c>
      <c r="E28" s="100">
        <v>84</v>
      </c>
      <c r="F28" s="100">
        <v>84</v>
      </c>
      <c r="G28" s="100">
        <v>84</v>
      </c>
      <c r="H28" s="101">
        <v>84</v>
      </c>
    </row>
    <row r="29" spans="2:8" x14ac:dyDescent="0.2">
      <c r="B29" s="96" t="s">
        <v>67</v>
      </c>
      <c r="C29" s="97">
        <f>C27-C28</f>
        <v>-400</v>
      </c>
      <c r="D29" s="97">
        <f t="shared" ref="D29:H29" si="3">D27-D28</f>
        <v>36</v>
      </c>
      <c r="E29" s="97">
        <f t="shared" si="3"/>
        <v>45.600000000000023</v>
      </c>
      <c r="F29" s="97">
        <f t="shared" si="3"/>
        <v>55.968000000000046</v>
      </c>
      <c r="G29" s="97">
        <f t="shared" si="3"/>
        <v>67.165440000000046</v>
      </c>
      <c r="H29" s="102">
        <f t="shared" si="3"/>
        <v>948.58675200000062</v>
      </c>
    </row>
    <row r="30" spans="2:8" ht="17" thickBot="1" x14ac:dyDescent="0.25">
      <c r="B30" s="103" t="s">
        <v>44</v>
      </c>
      <c r="C30" s="104"/>
      <c r="D30" s="104"/>
      <c r="E30" s="104"/>
      <c r="F30" s="104"/>
      <c r="G30" s="104"/>
      <c r="H30" s="105">
        <f>IRR(C29:H29,0.1)</f>
        <v>0.26768656241570676</v>
      </c>
    </row>
    <row r="31" spans="2:8" x14ac:dyDescent="0.2">
      <c r="B31" s="11"/>
      <c r="C31" s="11"/>
      <c r="D31" s="11"/>
      <c r="E31" s="11"/>
      <c r="F31" s="11"/>
      <c r="G31" s="11"/>
      <c r="H31" s="12"/>
    </row>
    <row r="32" spans="2:8" x14ac:dyDescent="0.2">
      <c r="B32" s="11"/>
      <c r="C32" s="11"/>
      <c r="D32" s="11"/>
      <c r="E32" s="11"/>
      <c r="F32" s="11"/>
      <c r="G32" s="11"/>
      <c r="H32" s="12"/>
    </row>
    <row r="33" spans="2:8" x14ac:dyDescent="0.2">
      <c r="B33" s="2" t="s">
        <v>61</v>
      </c>
    </row>
    <row r="34" spans="2:8" ht="17" thickBot="1" x14ac:dyDescent="0.25">
      <c r="B34" s="2"/>
    </row>
    <row r="35" spans="2:8" x14ac:dyDescent="0.2">
      <c r="B35" s="56" t="s">
        <v>50</v>
      </c>
      <c r="C35" s="93">
        <v>0.6</v>
      </c>
    </row>
    <row r="36" spans="2:8" x14ac:dyDescent="0.2">
      <c r="B36" s="58" t="s">
        <v>84</v>
      </c>
      <c r="C36" s="86">
        <v>0.05</v>
      </c>
    </row>
    <row r="37" spans="2:8" x14ac:dyDescent="0.2">
      <c r="B37" s="58" t="s">
        <v>52</v>
      </c>
      <c r="C37" s="92">
        <f>C23</f>
        <v>600</v>
      </c>
    </row>
    <row r="38" spans="2:8" ht="17" thickBot="1" x14ac:dyDescent="0.25">
      <c r="B38" s="59" t="s">
        <v>53</v>
      </c>
      <c r="C38" s="94">
        <f>C24</f>
        <v>400</v>
      </c>
    </row>
    <row r="39" spans="2:8" ht="17" thickBot="1" x14ac:dyDescent="0.25"/>
    <row r="40" spans="2:8" x14ac:dyDescent="0.2">
      <c r="B40" s="128" t="s">
        <v>56</v>
      </c>
      <c r="C40" s="129">
        <v>0</v>
      </c>
      <c r="D40" s="129">
        <v>1</v>
      </c>
      <c r="E40" s="129">
        <v>2</v>
      </c>
      <c r="F40" s="129">
        <v>3</v>
      </c>
      <c r="G40" s="129">
        <v>4</v>
      </c>
      <c r="H40" s="130">
        <v>5</v>
      </c>
    </row>
    <row r="41" spans="2:8" x14ac:dyDescent="0.2">
      <c r="B41" s="96" t="s">
        <v>67</v>
      </c>
      <c r="C41" s="97">
        <f>-C38</f>
        <v>-400</v>
      </c>
      <c r="D41" s="98">
        <f>D27</f>
        <v>120</v>
      </c>
      <c r="E41" s="98">
        <f t="shared" ref="E41:H41" si="4">E27</f>
        <v>129.60000000000002</v>
      </c>
      <c r="F41" s="98">
        <f t="shared" si="4"/>
        <v>139.96800000000005</v>
      </c>
      <c r="G41" s="98">
        <f t="shared" si="4"/>
        <v>151.16544000000005</v>
      </c>
      <c r="H41" s="99">
        <f t="shared" si="4"/>
        <v>1032.5867520000006</v>
      </c>
    </row>
    <row r="42" spans="2:8" x14ac:dyDescent="0.2">
      <c r="B42" s="96" t="s">
        <v>48</v>
      </c>
      <c r="C42" s="100"/>
      <c r="D42" s="100">
        <f>C37*C36</f>
        <v>30</v>
      </c>
      <c r="E42" s="100">
        <f>D42</f>
        <v>30</v>
      </c>
      <c r="F42" s="100">
        <f t="shared" ref="F42:H42" si="5">E42</f>
        <v>30</v>
      </c>
      <c r="G42" s="100">
        <f t="shared" si="5"/>
        <v>30</v>
      </c>
      <c r="H42" s="101">
        <f t="shared" si="5"/>
        <v>30</v>
      </c>
    </row>
    <row r="43" spans="2:8" x14ac:dyDescent="0.2">
      <c r="B43" s="96" t="s">
        <v>67</v>
      </c>
      <c r="C43" s="97">
        <f>C41-C42</f>
        <v>-400</v>
      </c>
      <c r="D43" s="97">
        <f t="shared" ref="D43:H43" si="6">D41-D42</f>
        <v>90</v>
      </c>
      <c r="E43" s="97">
        <f t="shared" si="6"/>
        <v>99.600000000000023</v>
      </c>
      <c r="F43" s="97">
        <f t="shared" si="6"/>
        <v>109.96800000000005</v>
      </c>
      <c r="G43" s="97">
        <f t="shared" si="6"/>
        <v>121.16544000000005</v>
      </c>
      <c r="H43" s="102">
        <f t="shared" si="6"/>
        <v>1002.5867520000006</v>
      </c>
    </row>
    <row r="44" spans="2:8" ht="17" thickBot="1" x14ac:dyDescent="0.25">
      <c r="B44" s="103" t="s">
        <v>44</v>
      </c>
      <c r="C44" s="104"/>
      <c r="D44" s="104"/>
      <c r="E44" s="104"/>
      <c r="F44" s="104"/>
      <c r="G44" s="104"/>
      <c r="H44" s="105">
        <f>IRR(C43:H43,0.1)</f>
        <v>0.37341968915451096</v>
      </c>
    </row>
    <row r="47" spans="2:8" x14ac:dyDescent="0.2">
      <c r="B47" s="2" t="s">
        <v>62</v>
      </c>
    </row>
    <row r="48" spans="2:8" ht="17" thickBot="1" x14ac:dyDescent="0.25">
      <c r="B48" s="2"/>
    </row>
    <row r="49" spans="2:8" ht="17" thickBot="1" x14ac:dyDescent="0.25">
      <c r="B49" s="106" t="s">
        <v>81</v>
      </c>
      <c r="C49" s="107">
        <v>0.09</v>
      </c>
    </row>
    <row r="50" spans="2:8" ht="17" thickBot="1" x14ac:dyDescent="0.25">
      <c r="B50" s="7"/>
      <c r="C50" s="13"/>
    </row>
    <row r="51" spans="2:8" x14ac:dyDescent="0.2">
      <c r="B51" s="128" t="s">
        <v>56</v>
      </c>
      <c r="C51" s="129">
        <v>0</v>
      </c>
      <c r="D51" s="129">
        <v>1</v>
      </c>
      <c r="E51" s="129">
        <v>2</v>
      </c>
      <c r="F51" s="129">
        <v>3</v>
      </c>
      <c r="G51" s="129">
        <v>4</v>
      </c>
      <c r="H51" s="130">
        <v>5</v>
      </c>
    </row>
    <row r="52" spans="2:8" x14ac:dyDescent="0.2">
      <c r="B52" s="96" t="s">
        <v>65</v>
      </c>
      <c r="C52" s="97">
        <v>-1000</v>
      </c>
      <c r="D52" s="98">
        <f>D13/(1+$C$49)</f>
        <v>110.09174311926604</v>
      </c>
      <c r="E52" s="98">
        <f>E13/(1+$C$49)^2</f>
        <v>109.08172712734618</v>
      </c>
      <c r="F52" s="98">
        <f>F13/(1+$C$49)^3</f>
        <v>108.08097733718706</v>
      </c>
      <c r="G52" s="98">
        <f>G13/(1+$C$49)^4</f>
        <v>107.08940873776332</v>
      </c>
      <c r="H52" s="99">
        <f>H13/(1+$C$49)^5</f>
        <v>106.10693709796732</v>
      </c>
    </row>
    <row r="53" spans="2:8" x14ac:dyDescent="0.2">
      <c r="B53" s="96" t="s">
        <v>66</v>
      </c>
      <c r="C53" s="100"/>
      <c r="D53" s="100"/>
      <c r="E53" s="100"/>
      <c r="F53" s="100"/>
      <c r="G53" s="100"/>
      <c r="H53" s="101">
        <f>H14/(1+C49)^5</f>
        <v>954.96243388170592</v>
      </c>
    </row>
    <row r="54" spans="2:8" x14ac:dyDescent="0.2">
      <c r="B54" s="96" t="s">
        <v>67</v>
      </c>
      <c r="C54" s="97">
        <f>C52+C53</f>
        <v>-1000</v>
      </c>
      <c r="D54" s="97">
        <f t="shared" ref="D54:H54" si="7">D52+D53</f>
        <v>110.09174311926604</v>
      </c>
      <c r="E54" s="97">
        <f t="shared" si="7"/>
        <v>109.08172712734618</v>
      </c>
      <c r="F54" s="97">
        <f t="shared" si="7"/>
        <v>108.08097733718706</v>
      </c>
      <c r="G54" s="97">
        <f t="shared" si="7"/>
        <v>107.08940873776332</v>
      </c>
      <c r="H54" s="102">
        <f t="shared" si="7"/>
        <v>1061.0693709796733</v>
      </c>
    </row>
    <row r="55" spans="2:8" ht="17" thickBot="1" x14ac:dyDescent="0.25">
      <c r="B55" s="103" t="s">
        <v>44</v>
      </c>
      <c r="C55" s="104"/>
      <c r="D55" s="104"/>
      <c r="E55" s="104"/>
      <c r="F55" s="104"/>
      <c r="G55" s="104"/>
      <c r="H55" s="105">
        <f>IRR(C54:H54,0.1)</f>
        <v>0.10091743119260377</v>
      </c>
    </row>
    <row r="58" spans="2:8" x14ac:dyDescent="0.2">
      <c r="B58" s="2" t="s">
        <v>64</v>
      </c>
    </row>
    <row r="59" spans="2:8" ht="17" thickBot="1" x14ac:dyDescent="0.25">
      <c r="B59" s="2"/>
    </row>
    <row r="60" spans="2:8" x14ac:dyDescent="0.2">
      <c r="B60" s="128" t="s">
        <v>56</v>
      </c>
      <c r="C60" s="129">
        <v>0</v>
      </c>
      <c r="D60" s="129">
        <v>1</v>
      </c>
      <c r="E60" s="129">
        <v>2</v>
      </c>
      <c r="F60" s="129">
        <v>3</v>
      </c>
      <c r="G60" s="129">
        <v>4</v>
      </c>
      <c r="H60" s="130">
        <v>5</v>
      </c>
    </row>
    <row r="61" spans="2:8" x14ac:dyDescent="0.2">
      <c r="B61" s="96" t="s">
        <v>67</v>
      </c>
      <c r="C61" s="97">
        <f>C41</f>
        <v>-400</v>
      </c>
      <c r="D61" s="98">
        <f>D54</f>
        <v>110.09174311926604</v>
      </c>
      <c r="E61" s="98">
        <f t="shared" ref="E61:G61" si="8">E54</f>
        <v>109.08172712734618</v>
      </c>
      <c r="F61" s="98">
        <f t="shared" si="8"/>
        <v>108.08097733718706</v>
      </c>
      <c r="G61" s="98">
        <f t="shared" si="8"/>
        <v>107.08940873776332</v>
      </c>
      <c r="H61" s="99">
        <f>H54-C37</f>
        <v>461.06937097967329</v>
      </c>
    </row>
    <row r="62" spans="2:8" x14ac:dyDescent="0.2">
      <c r="B62" s="96" t="s">
        <v>48</v>
      </c>
      <c r="C62" s="100"/>
      <c r="D62" s="100">
        <f>D42</f>
        <v>30</v>
      </c>
      <c r="E62" s="100">
        <f t="shared" ref="E62:H62" si="9">E42</f>
        <v>30</v>
      </c>
      <c r="F62" s="100">
        <f t="shared" si="9"/>
        <v>30</v>
      </c>
      <c r="G62" s="100">
        <f t="shared" si="9"/>
        <v>30</v>
      </c>
      <c r="H62" s="101">
        <f t="shared" si="9"/>
        <v>30</v>
      </c>
    </row>
    <row r="63" spans="2:8" x14ac:dyDescent="0.2">
      <c r="B63" s="96" t="s">
        <v>67</v>
      </c>
      <c r="C63" s="97">
        <f>C61-C62</f>
        <v>-400</v>
      </c>
      <c r="D63" s="97">
        <f>D61-D62</f>
        <v>80.091743119266042</v>
      </c>
      <c r="E63" s="97">
        <f t="shared" ref="E63:H63" si="10">E61-E62</f>
        <v>79.081727127346184</v>
      </c>
      <c r="F63" s="97">
        <f t="shared" si="10"/>
        <v>78.080977337187065</v>
      </c>
      <c r="G63" s="97">
        <f t="shared" si="10"/>
        <v>77.089408737763321</v>
      </c>
      <c r="H63" s="102">
        <f t="shared" si="10"/>
        <v>431.06937097967329</v>
      </c>
    </row>
    <row r="64" spans="2:8" ht="17" thickBot="1" x14ac:dyDescent="0.25">
      <c r="B64" s="103" t="s">
        <v>44</v>
      </c>
      <c r="C64" s="104"/>
      <c r="D64" s="104"/>
      <c r="E64" s="104"/>
      <c r="F64" s="104"/>
      <c r="G64" s="104"/>
      <c r="H64" s="105">
        <f>IRR(C63:H63,0.1)</f>
        <v>0.18031349254339202</v>
      </c>
    </row>
    <row r="67" spans="2:9" x14ac:dyDescent="0.2">
      <c r="B67" s="2" t="s">
        <v>63</v>
      </c>
    </row>
    <row r="68" spans="2:9" ht="17" thickBot="1" x14ac:dyDescent="0.25">
      <c r="B68" s="2"/>
    </row>
    <row r="69" spans="2:9" x14ac:dyDescent="0.2">
      <c r="B69" s="121" t="s">
        <v>82</v>
      </c>
      <c r="C69" s="122">
        <f>C22</f>
        <v>0.14000000000000001</v>
      </c>
    </row>
    <row r="70" spans="2:9" ht="17" thickBot="1" x14ac:dyDescent="0.25">
      <c r="B70" s="123" t="s">
        <v>83</v>
      </c>
      <c r="C70" s="120">
        <f>C36</f>
        <v>0.05</v>
      </c>
    </row>
    <row r="71" spans="2:9" ht="17" thickBot="1" x14ac:dyDescent="0.25"/>
    <row r="72" spans="2:9" x14ac:dyDescent="0.2">
      <c r="B72" s="124" t="s">
        <v>68</v>
      </c>
      <c r="C72" s="126">
        <v>1</v>
      </c>
      <c r="D72" s="126">
        <v>2</v>
      </c>
      <c r="E72" s="126">
        <v>3</v>
      </c>
      <c r="F72" s="126">
        <v>4</v>
      </c>
      <c r="G72" s="126">
        <v>5</v>
      </c>
      <c r="H72" s="126">
        <v>6</v>
      </c>
      <c r="I72" s="127">
        <v>7</v>
      </c>
    </row>
    <row r="73" spans="2:9" x14ac:dyDescent="0.2">
      <c r="B73" s="95" t="s">
        <v>69</v>
      </c>
      <c r="C73" s="110">
        <v>20.34</v>
      </c>
      <c r="D73" s="111">
        <v>11.94</v>
      </c>
      <c r="E73" s="111">
        <v>27.18</v>
      </c>
      <c r="F73" s="111">
        <v>4.0199999999999996</v>
      </c>
      <c r="G73" s="111">
        <v>1.05</v>
      </c>
      <c r="H73" s="111">
        <v>10.18</v>
      </c>
      <c r="I73" s="112">
        <v>15.07</v>
      </c>
    </row>
    <row r="74" spans="2:9" x14ac:dyDescent="0.2">
      <c r="B74" s="95" t="s">
        <v>70</v>
      </c>
      <c r="C74" s="74">
        <v>3.02</v>
      </c>
      <c r="D74" s="74">
        <v>13.75</v>
      </c>
      <c r="E74" s="74">
        <v>5.7</v>
      </c>
      <c r="F74" s="74">
        <v>48.58</v>
      </c>
      <c r="G74" s="74">
        <v>56.08</v>
      </c>
      <c r="H74" s="88">
        <v>4.96</v>
      </c>
      <c r="I74" s="113">
        <v>8.5299999999999994</v>
      </c>
    </row>
    <row r="75" spans="2:9" x14ac:dyDescent="0.2">
      <c r="B75" s="95" t="s">
        <v>71</v>
      </c>
      <c r="C75" s="110">
        <f>C73/C74</f>
        <v>6.7350993377483439</v>
      </c>
      <c r="D75" s="110">
        <f t="shared" ref="D75:I75" si="11">D73/D74</f>
        <v>0.86836363636363634</v>
      </c>
      <c r="E75" s="110">
        <f t="shared" si="11"/>
        <v>4.7684210526315791</v>
      </c>
      <c r="F75" s="110">
        <f t="shared" si="11"/>
        <v>8.2750102923013574E-2</v>
      </c>
      <c r="G75" s="110">
        <f t="shared" si="11"/>
        <v>1.8723252496433668E-2</v>
      </c>
      <c r="H75" s="110">
        <f t="shared" si="11"/>
        <v>2.0524193548387095</v>
      </c>
      <c r="I75" s="114">
        <f t="shared" si="11"/>
        <v>1.7667057444314187</v>
      </c>
    </row>
    <row r="76" spans="2:9" x14ac:dyDescent="0.2">
      <c r="B76" s="95" t="s">
        <v>72</v>
      </c>
      <c r="C76" s="74">
        <v>25.24</v>
      </c>
      <c r="D76" s="74">
        <v>37.619999999999997</v>
      </c>
      <c r="E76" s="74">
        <v>36.17</v>
      </c>
      <c r="F76" s="74">
        <v>60.04</v>
      </c>
      <c r="G76" s="74">
        <v>64.47</v>
      </c>
      <c r="H76" s="87">
        <v>18.809999999999999</v>
      </c>
      <c r="I76" s="115">
        <v>29.25</v>
      </c>
    </row>
    <row r="77" spans="2:9" x14ac:dyDescent="0.2">
      <c r="B77" s="125" t="s">
        <v>73</v>
      </c>
      <c r="C77" s="110">
        <v>16.29</v>
      </c>
      <c r="D77" s="110">
        <v>-8.43</v>
      </c>
      <c r="E77" s="110">
        <v>19.25</v>
      </c>
      <c r="F77" s="110">
        <v>-100</v>
      </c>
      <c r="G77" s="110">
        <v>-100</v>
      </c>
      <c r="H77" s="110">
        <v>4.7300000000000004</v>
      </c>
      <c r="I77" s="114">
        <v>5.45</v>
      </c>
    </row>
    <row r="78" spans="2:9" ht="17" thickBot="1" x14ac:dyDescent="0.25">
      <c r="B78" s="116" t="s">
        <v>74</v>
      </c>
      <c r="C78" s="117">
        <f>C73-(C69*100)</f>
        <v>6.3399999999999981</v>
      </c>
      <c r="D78" s="117">
        <f>D73-(C70*100)</f>
        <v>6.9399999999999995</v>
      </c>
      <c r="E78" s="117">
        <f>E73-(C69*100)</f>
        <v>13.179999999999998</v>
      </c>
      <c r="F78" s="117">
        <f>F73-(C70*100)</f>
        <v>-0.98000000000000043</v>
      </c>
      <c r="G78" s="117">
        <f>G73-(C70*100)</f>
        <v>-3.95</v>
      </c>
      <c r="H78" s="118">
        <f>H73-(C70*100)</f>
        <v>5.18</v>
      </c>
      <c r="I78" s="119">
        <f>I73-(C70*100)</f>
        <v>10.07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F053B-FD30-794F-ADFB-05673161F528}">
  <sheetPr>
    <tabColor theme="4" tint="0.59999389629810485"/>
  </sheetPr>
  <dimension ref="B2:L59"/>
  <sheetViews>
    <sheetView showGridLines="0" topLeftCell="A23" workbookViewId="0">
      <selection activeCell="O42" sqref="O42"/>
    </sheetView>
  </sheetViews>
  <sheetFormatPr baseColWidth="10" defaultColWidth="11" defaultRowHeight="16" x14ac:dyDescent="0.2"/>
  <cols>
    <col min="1" max="1" width="7" customWidth="1"/>
    <col min="2" max="2" width="20.5" customWidth="1"/>
  </cols>
  <sheetData>
    <row r="2" spans="2:11" x14ac:dyDescent="0.2">
      <c r="B2" s="2" t="s">
        <v>122</v>
      </c>
    </row>
    <row r="3" spans="2:11" ht="17" thickBot="1" x14ac:dyDescent="0.25"/>
    <row r="4" spans="2:11" ht="18" x14ac:dyDescent="0.2">
      <c r="B4" s="159" t="s">
        <v>152</v>
      </c>
      <c r="C4" s="108" t="s">
        <v>146</v>
      </c>
      <c r="D4" s="108" t="s">
        <v>104</v>
      </c>
      <c r="E4" s="108" t="s">
        <v>88</v>
      </c>
      <c r="F4" s="108" t="s">
        <v>123</v>
      </c>
      <c r="G4" s="108"/>
      <c r="H4" s="108" t="s">
        <v>90</v>
      </c>
      <c r="I4" s="108" t="s">
        <v>147</v>
      </c>
      <c r="J4" s="108" t="s">
        <v>92</v>
      </c>
      <c r="K4" s="109" t="s">
        <v>93</v>
      </c>
    </row>
    <row r="5" spans="2:11" x14ac:dyDescent="0.2">
      <c r="B5" s="131" t="s">
        <v>117</v>
      </c>
      <c r="C5" s="134">
        <v>-1</v>
      </c>
      <c r="D5" s="134">
        <v>2</v>
      </c>
      <c r="E5" s="134">
        <v>0</v>
      </c>
      <c r="F5" s="134">
        <f>C5+D5+E5</f>
        <v>1</v>
      </c>
      <c r="G5" s="141" t="s">
        <v>110</v>
      </c>
      <c r="H5" s="134">
        <v>-1</v>
      </c>
      <c r="I5" s="134">
        <v>2</v>
      </c>
      <c r="J5" s="134">
        <v>0</v>
      </c>
      <c r="K5" s="135">
        <f>H5+I5-J5</f>
        <v>1</v>
      </c>
    </row>
    <row r="6" spans="2:11" x14ac:dyDescent="0.2">
      <c r="B6" s="132" t="s">
        <v>118</v>
      </c>
      <c r="C6" s="137">
        <v>-1</v>
      </c>
      <c r="D6" s="137">
        <v>2</v>
      </c>
      <c r="E6" s="137">
        <v>0.5</v>
      </c>
      <c r="F6" s="137">
        <f t="shared" ref="F6:F10" si="0">C6+D6+E6</f>
        <v>1.5</v>
      </c>
      <c r="G6" s="133" t="s">
        <v>110</v>
      </c>
      <c r="H6" s="137">
        <v>1.5</v>
      </c>
      <c r="I6" s="137">
        <v>0</v>
      </c>
      <c r="J6" s="137">
        <v>0</v>
      </c>
      <c r="K6" s="139">
        <f t="shared" ref="K6:K10" si="1">H6+I6-J6</f>
        <v>1.5</v>
      </c>
    </row>
    <row r="7" spans="2:11" x14ac:dyDescent="0.2">
      <c r="B7" s="132" t="s">
        <v>119</v>
      </c>
      <c r="C7" s="134">
        <v>-1</v>
      </c>
      <c r="D7" s="134">
        <v>2</v>
      </c>
      <c r="E7" s="134">
        <v>4</v>
      </c>
      <c r="F7" s="134">
        <f t="shared" si="0"/>
        <v>5</v>
      </c>
      <c r="G7" s="134" t="s">
        <v>110</v>
      </c>
      <c r="H7" s="134">
        <v>2</v>
      </c>
      <c r="I7" s="134">
        <v>3</v>
      </c>
      <c r="J7" s="134">
        <v>0</v>
      </c>
      <c r="K7" s="135">
        <f t="shared" si="1"/>
        <v>5</v>
      </c>
    </row>
    <row r="8" spans="2:11" x14ac:dyDescent="0.2">
      <c r="B8" s="132" t="s">
        <v>120</v>
      </c>
      <c r="C8" s="137">
        <v>-1</v>
      </c>
      <c r="D8" s="137">
        <v>2</v>
      </c>
      <c r="E8" s="137">
        <v>4</v>
      </c>
      <c r="F8" s="137">
        <f t="shared" si="0"/>
        <v>5</v>
      </c>
      <c r="G8" s="133" t="s">
        <v>110</v>
      </c>
      <c r="H8" s="137">
        <v>4.5</v>
      </c>
      <c r="I8" s="137">
        <v>1.5</v>
      </c>
      <c r="J8" s="137">
        <v>1</v>
      </c>
      <c r="K8" s="139">
        <f t="shared" si="1"/>
        <v>5</v>
      </c>
    </row>
    <row r="9" spans="2:11" x14ac:dyDescent="0.2">
      <c r="B9" s="143" t="s">
        <v>112</v>
      </c>
      <c r="C9" s="134">
        <v>-1</v>
      </c>
      <c r="D9" s="134"/>
      <c r="E9" s="134"/>
      <c r="F9" s="134">
        <f t="shared" si="0"/>
        <v>-1</v>
      </c>
      <c r="G9" s="134"/>
      <c r="H9" s="134">
        <v>0.5</v>
      </c>
      <c r="I9" s="134"/>
      <c r="J9" s="134"/>
      <c r="K9" s="135"/>
    </row>
    <row r="10" spans="2:11" ht="17" thickBot="1" x14ac:dyDescent="0.25">
      <c r="B10" s="142" t="s">
        <v>121</v>
      </c>
      <c r="C10" s="138">
        <v>-1</v>
      </c>
      <c r="D10" s="138">
        <v>2</v>
      </c>
      <c r="E10" s="138">
        <v>0</v>
      </c>
      <c r="F10" s="138">
        <f t="shared" si="0"/>
        <v>1</v>
      </c>
      <c r="G10" s="136"/>
      <c r="H10" s="138">
        <v>0.5</v>
      </c>
      <c r="I10" s="138">
        <v>0</v>
      </c>
      <c r="J10" s="138">
        <v>0</v>
      </c>
      <c r="K10" s="140">
        <f t="shared" si="1"/>
        <v>0.5</v>
      </c>
    </row>
    <row r="11" spans="2:11" x14ac:dyDescent="0.2">
      <c r="B11" s="14"/>
      <c r="C11" s="14"/>
      <c r="D11" s="14"/>
      <c r="E11" s="14"/>
      <c r="F11" s="15"/>
      <c r="G11" s="14"/>
      <c r="H11" s="14"/>
      <c r="I11" s="14"/>
    </row>
    <row r="12" spans="2:11" x14ac:dyDescent="0.2">
      <c r="B12" s="14"/>
      <c r="C12" s="14"/>
      <c r="D12" s="14"/>
      <c r="E12" s="14"/>
      <c r="F12" s="15"/>
      <c r="G12" s="14"/>
      <c r="H12" s="14"/>
      <c r="I12" s="14"/>
    </row>
    <row r="13" spans="2:11" x14ac:dyDescent="0.2">
      <c r="B13" s="2" t="s">
        <v>116</v>
      </c>
      <c r="C13" s="2"/>
      <c r="D13" s="2"/>
    </row>
    <row r="14" spans="2:11" ht="17" thickBot="1" x14ac:dyDescent="0.25"/>
    <row r="15" spans="2:11" ht="18" x14ac:dyDescent="0.2">
      <c r="B15" s="159" t="s">
        <v>152</v>
      </c>
      <c r="C15" s="108" t="s">
        <v>146</v>
      </c>
      <c r="D15" s="108" t="s">
        <v>104</v>
      </c>
      <c r="E15" s="108" t="s">
        <v>88</v>
      </c>
      <c r="F15" s="108" t="s">
        <v>123</v>
      </c>
      <c r="G15" s="108"/>
      <c r="H15" s="108" t="s">
        <v>90</v>
      </c>
      <c r="I15" s="108" t="s">
        <v>147</v>
      </c>
      <c r="J15" s="108" t="s">
        <v>92</v>
      </c>
      <c r="K15" s="109" t="s">
        <v>93</v>
      </c>
    </row>
    <row r="16" spans="2:11" x14ac:dyDescent="0.2">
      <c r="B16" s="131" t="s">
        <v>117</v>
      </c>
      <c r="C16" s="134">
        <v>-1</v>
      </c>
      <c r="D16" s="134">
        <v>2</v>
      </c>
      <c r="E16" s="134">
        <v>0</v>
      </c>
      <c r="F16" s="134">
        <f>C16+D16+E16</f>
        <v>1</v>
      </c>
      <c r="G16" s="141" t="s">
        <v>110</v>
      </c>
      <c r="H16" s="134">
        <v>-1</v>
      </c>
      <c r="I16" s="134">
        <v>2</v>
      </c>
      <c r="J16" s="134">
        <v>0</v>
      </c>
      <c r="K16" s="135">
        <f>H16+I16-J16</f>
        <v>1</v>
      </c>
    </row>
    <row r="17" spans="2:11" x14ac:dyDescent="0.2">
      <c r="B17" s="132" t="s">
        <v>118</v>
      </c>
      <c r="C17" s="137">
        <v>-1</v>
      </c>
      <c r="D17" s="137">
        <v>2</v>
      </c>
      <c r="E17" s="137">
        <v>0.5</v>
      </c>
      <c r="F17" s="137">
        <f t="shared" ref="F17:F21" si="2">C17+D17+E17</f>
        <v>1.5</v>
      </c>
      <c r="G17" s="133" t="s">
        <v>110</v>
      </c>
      <c r="H17" s="137">
        <v>1.5</v>
      </c>
      <c r="I17" s="137">
        <v>0</v>
      </c>
      <c r="J17" s="137">
        <v>0</v>
      </c>
      <c r="K17" s="139">
        <f t="shared" ref="K17:K21" si="3">H17+I17-J17</f>
        <v>1.5</v>
      </c>
    </row>
    <row r="18" spans="2:11" x14ac:dyDescent="0.2">
      <c r="B18" s="132" t="s">
        <v>119</v>
      </c>
      <c r="C18" s="134">
        <v>-1</v>
      </c>
      <c r="D18" s="134">
        <v>2</v>
      </c>
      <c r="E18" s="134">
        <v>4</v>
      </c>
      <c r="F18" s="134">
        <f t="shared" si="2"/>
        <v>5</v>
      </c>
      <c r="G18" s="134" t="s">
        <v>110</v>
      </c>
      <c r="H18" s="134">
        <v>2</v>
      </c>
      <c r="I18" s="134">
        <v>3</v>
      </c>
      <c r="J18" s="134">
        <v>0</v>
      </c>
      <c r="K18" s="135">
        <f t="shared" si="3"/>
        <v>5</v>
      </c>
    </row>
    <row r="19" spans="2:11" x14ac:dyDescent="0.2">
      <c r="B19" s="132" t="s">
        <v>120</v>
      </c>
      <c r="C19" s="137">
        <v>-1</v>
      </c>
      <c r="D19" s="137">
        <v>2</v>
      </c>
      <c r="E19" s="137">
        <v>4</v>
      </c>
      <c r="F19" s="137">
        <f t="shared" si="2"/>
        <v>5</v>
      </c>
      <c r="G19" s="133" t="s">
        <v>110</v>
      </c>
      <c r="H19" s="137">
        <v>4.5</v>
      </c>
      <c r="I19" s="137">
        <v>1.5</v>
      </c>
      <c r="J19" s="137">
        <v>1</v>
      </c>
      <c r="K19" s="139">
        <f t="shared" si="3"/>
        <v>5</v>
      </c>
    </row>
    <row r="20" spans="2:11" x14ac:dyDescent="0.2">
      <c r="B20" s="143" t="s">
        <v>112</v>
      </c>
      <c r="C20" s="134">
        <v>-1</v>
      </c>
      <c r="D20" s="134">
        <v>2</v>
      </c>
      <c r="E20" s="134">
        <v>1</v>
      </c>
      <c r="F20" s="134">
        <f t="shared" si="2"/>
        <v>2</v>
      </c>
      <c r="G20" s="134"/>
      <c r="H20" s="134">
        <v>0.5</v>
      </c>
      <c r="I20" s="134">
        <v>1</v>
      </c>
      <c r="J20" s="134">
        <v>0</v>
      </c>
      <c r="K20" s="135">
        <f t="shared" si="3"/>
        <v>1.5</v>
      </c>
    </row>
    <row r="21" spans="2:11" ht="17" thickBot="1" x14ac:dyDescent="0.25">
      <c r="B21" s="142" t="s">
        <v>121</v>
      </c>
      <c r="C21" s="138">
        <v>-1</v>
      </c>
      <c r="D21" s="138">
        <v>2</v>
      </c>
      <c r="E21" s="138">
        <v>0</v>
      </c>
      <c r="F21" s="138">
        <f t="shared" si="2"/>
        <v>1</v>
      </c>
      <c r="G21" s="136"/>
      <c r="H21" s="138">
        <v>0.5</v>
      </c>
      <c r="I21" s="138">
        <v>0</v>
      </c>
      <c r="J21" s="138">
        <v>0</v>
      </c>
      <c r="K21" s="140">
        <f t="shared" si="3"/>
        <v>0.5</v>
      </c>
    </row>
    <row r="23" spans="2:11" x14ac:dyDescent="0.2">
      <c r="B23" s="2" t="s">
        <v>115</v>
      </c>
    </row>
    <row r="24" spans="2:11" ht="17" thickBot="1" x14ac:dyDescent="0.25"/>
    <row r="25" spans="2:11" ht="18" x14ac:dyDescent="0.2">
      <c r="B25" s="159" t="s">
        <v>152</v>
      </c>
      <c r="C25" s="108" t="s">
        <v>146</v>
      </c>
      <c r="D25" s="108" t="s">
        <v>104</v>
      </c>
      <c r="E25" s="108" t="s">
        <v>88</v>
      </c>
      <c r="F25" s="108" t="s">
        <v>89</v>
      </c>
      <c r="G25" s="108"/>
      <c r="H25" s="108" t="s">
        <v>90</v>
      </c>
      <c r="I25" s="108" t="s">
        <v>91</v>
      </c>
      <c r="J25" s="108" t="s">
        <v>92</v>
      </c>
      <c r="K25" s="109" t="s">
        <v>93</v>
      </c>
    </row>
    <row r="26" spans="2:11" x14ac:dyDescent="0.2">
      <c r="B26" s="132" t="s">
        <v>109</v>
      </c>
      <c r="C26" s="134">
        <v>-1</v>
      </c>
      <c r="D26" s="134">
        <v>2</v>
      </c>
      <c r="E26" s="134">
        <v>0</v>
      </c>
      <c r="F26" s="134">
        <f>C26+D26+E26</f>
        <v>1</v>
      </c>
      <c r="G26" s="141" t="s">
        <v>110</v>
      </c>
      <c r="H26" s="134">
        <v>-1</v>
      </c>
      <c r="I26" s="134">
        <v>2</v>
      </c>
      <c r="J26" s="134">
        <v>0</v>
      </c>
      <c r="K26" s="135">
        <f t="shared" ref="K26:K30" si="4">H26+I26-J26</f>
        <v>1</v>
      </c>
    </row>
    <row r="27" spans="2:11" x14ac:dyDescent="0.2">
      <c r="B27" s="132" t="s">
        <v>111</v>
      </c>
      <c r="C27" s="137">
        <v>-1</v>
      </c>
      <c r="D27" s="137">
        <v>2</v>
      </c>
      <c r="E27" s="137">
        <v>0.5</v>
      </c>
      <c r="F27" s="137">
        <f t="shared" ref="F27:F30" si="5">C27+D27+E27</f>
        <v>1.5</v>
      </c>
      <c r="G27" s="133" t="s">
        <v>110</v>
      </c>
      <c r="H27" s="137">
        <v>1.5</v>
      </c>
      <c r="I27" s="137">
        <v>0</v>
      </c>
      <c r="J27" s="137">
        <v>0</v>
      </c>
      <c r="K27" s="139">
        <f t="shared" si="4"/>
        <v>1.5</v>
      </c>
    </row>
    <row r="28" spans="2:11" x14ac:dyDescent="0.2">
      <c r="B28" s="132" t="s">
        <v>112</v>
      </c>
      <c r="C28" s="134">
        <v>-1</v>
      </c>
      <c r="D28" s="134">
        <v>1</v>
      </c>
      <c r="E28" s="134">
        <v>0.5</v>
      </c>
      <c r="F28" s="134">
        <f t="shared" si="5"/>
        <v>0.5</v>
      </c>
      <c r="G28" s="134" t="s">
        <v>110</v>
      </c>
      <c r="H28" s="134">
        <v>0.5</v>
      </c>
      <c r="I28" s="134">
        <v>0</v>
      </c>
      <c r="J28" s="134">
        <v>0</v>
      </c>
      <c r="K28" s="135">
        <f t="shared" si="4"/>
        <v>0.5</v>
      </c>
    </row>
    <row r="29" spans="2:11" x14ac:dyDescent="0.2">
      <c r="B29" s="132" t="s">
        <v>113</v>
      </c>
      <c r="C29" s="137">
        <v>-1</v>
      </c>
      <c r="D29" s="137">
        <v>1.5</v>
      </c>
      <c r="E29" s="137">
        <v>0.5</v>
      </c>
      <c r="F29" s="137">
        <f t="shared" si="5"/>
        <v>1</v>
      </c>
      <c r="G29" s="133" t="s">
        <v>110</v>
      </c>
      <c r="H29" s="137">
        <v>1</v>
      </c>
      <c r="I29" s="137">
        <v>0</v>
      </c>
      <c r="J29" s="137">
        <v>0</v>
      </c>
      <c r="K29" s="139">
        <f t="shared" si="4"/>
        <v>1</v>
      </c>
    </row>
    <row r="30" spans="2:11" ht="17" thickBot="1" x14ac:dyDescent="0.25">
      <c r="B30" s="144" t="s">
        <v>114</v>
      </c>
      <c r="C30" s="145">
        <v>-1</v>
      </c>
      <c r="D30" s="145">
        <v>10.5</v>
      </c>
      <c r="E30" s="145">
        <v>0.5</v>
      </c>
      <c r="F30" s="145">
        <f t="shared" si="5"/>
        <v>10</v>
      </c>
      <c r="G30" s="145" t="s">
        <v>110</v>
      </c>
      <c r="H30" s="145">
        <v>10</v>
      </c>
      <c r="I30" s="145">
        <v>0</v>
      </c>
      <c r="J30" s="145">
        <v>0</v>
      </c>
      <c r="K30" s="146">
        <f t="shared" si="4"/>
        <v>10</v>
      </c>
    </row>
    <row r="33" spans="2:12" x14ac:dyDescent="0.2">
      <c r="B33" s="2" t="s">
        <v>107</v>
      </c>
    </row>
    <row r="34" spans="2:12" ht="17" thickBot="1" x14ac:dyDescent="0.25"/>
    <row r="35" spans="2:12" ht="18" x14ac:dyDescent="0.2">
      <c r="B35" s="159" t="s">
        <v>152</v>
      </c>
      <c r="C35" s="108" t="s">
        <v>108</v>
      </c>
      <c r="D35" s="108"/>
      <c r="E35" s="108" t="s">
        <v>90</v>
      </c>
      <c r="F35" s="108" t="s">
        <v>91</v>
      </c>
      <c r="G35" s="108" t="s">
        <v>148</v>
      </c>
      <c r="H35" s="109" t="s">
        <v>92</v>
      </c>
    </row>
    <row r="36" spans="2:12" x14ac:dyDescent="0.2">
      <c r="B36" s="132" t="s">
        <v>109</v>
      </c>
      <c r="C36" s="134">
        <f>E36+F36+G36-H36</f>
        <v>1</v>
      </c>
      <c r="D36" s="134" t="s">
        <v>110</v>
      </c>
      <c r="E36" s="134">
        <v>-1</v>
      </c>
      <c r="F36" s="134">
        <v>2</v>
      </c>
      <c r="G36" s="141">
        <v>0</v>
      </c>
      <c r="H36" s="135">
        <v>0</v>
      </c>
    </row>
    <row r="37" spans="2:12" x14ac:dyDescent="0.2">
      <c r="B37" s="132" t="s">
        <v>111</v>
      </c>
      <c r="C37" s="137">
        <f t="shared" ref="C37:C40" si="6">E37+F37+G37-H37</f>
        <v>1.5</v>
      </c>
      <c r="D37" s="137" t="s">
        <v>110</v>
      </c>
      <c r="E37" s="137">
        <v>1.5</v>
      </c>
      <c r="F37" s="137">
        <v>0</v>
      </c>
      <c r="G37" s="133">
        <v>0</v>
      </c>
      <c r="H37" s="139">
        <v>0</v>
      </c>
    </row>
    <row r="38" spans="2:12" x14ac:dyDescent="0.2">
      <c r="B38" s="132" t="s">
        <v>112</v>
      </c>
      <c r="C38" s="134">
        <f t="shared" si="6"/>
        <v>1.5</v>
      </c>
      <c r="D38" s="134" t="s">
        <v>110</v>
      </c>
      <c r="E38" s="134">
        <v>0.5</v>
      </c>
      <c r="F38" s="134">
        <v>0</v>
      </c>
      <c r="G38" s="134">
        <v>1</v>
      </c>
      <c r="H38" s="135">
        <v>0</v>
      </c>
    </row>
    <row r="39" spans="2:12" x14ac:dyDescent="0.2">
      <c r="B39" s="132" t="s">
        <v>113</v>
      </c>
      <c r="C39" s="137">
        <f t="shared" si="6"/>
        <v>1.5</v>
      </c>
      <c r="D39" s="137" t="s">
        <v>110</v>
      </c>
      <c r="E39" s="137">
        <v>1</v>
      </c>
      <c r="F39" s="137">
        <v>0</v>
      </c>
      <c r="G39" s="133">
        <v>0.5</v>
      </c>
      <c r="H39" s="139">
        <v>0</v>
      </c>
    </row>
    <row r="40" spans="2:12" ht="17" thickBot="1" x14ac:dyDescent="0.25">
      <c r="B40" s="144" t="s">
        <v>114</v>
      </c>
      <c r="C40" s="145">
        <f t="shared" si="6"/>
        <v>1.5</v>
      </c>
      <c r="D40" s="145" t="s">
        <v>110</v>
      </c>
      <c r="E40" s="145">
        <v>10</v>
      </c>
      <c r="F40" s="145">
        <v>0</v>
      </c>
      <c r="G40" s="145">
        <v>-8.5</v>
      </c>
      <c r="H40" s="146">
        <v>0</v>
      </c>
    </row>
    <row r="43" spans="2:12" x14ac:dyDescent="0.2">
      <c r="B43" s="2" t="s">
        <v>103</v>
      </c>
    </row>
    <row r="44" spans="2:12" ht="17" thickBot="1" x14ac:dyDescent="0.25"/>
    <row r="45" spans="2:12" ht="18" x14ac:dyDescent="0.2">
      <c r="B45" s="159" t="s">
        <v>152</v>
      </c>
      <c r="C45" s="108" t="s">
        <v>146</v>
      </c>
      <c r="D45" s="108" t="s">
        <v>104</v>
      </c>
      <c r="E45" s="108" t="s">
        <v>88</v>
      </c>
      <c r="F45" s="108" t="s">
        <v>89</v>
      </c>
      <c r="G45" s="108"/>
      <c r="H45" s="108" t="s">
        <v>90</v>
      </c>
      <c r="I45" s="108" t="s">
        <v>91</v>
      </c>
      <c r="J45" s="108" t="s">
        <v>148</v>
      </c>
      <c r="K45" s="108" t="s">
        <v>92</v>
      </c>
      <c r="L45" s="109" t="s">
        <v>93</v>
      </c>
    </row>
    <row r="46" spans="2:12" x14ac:dyDescent="0.2">
      <c r="B46" s="132" t="s">
        <v>96</v>
      </c>
      <c r="C46" s="134">
        <v>-1</v>
      </c>
      <c r="D46" s="134">
        <v>2</v>
      </c>
      <c r="E46" s="134">
        <v>4</v>
      </c>
      <c r="F46" s="134">
        <f>C46+D46+E46</f>
        <v>5</v>
      </c>
      <c r="G46" s="141" t="s">
        <v>105</v>
      </c>
      <c r="H46" s="134">
        <v>4.5</v>
      </c>
      <c r="I46" s="134">
        <v>1.5</v>
      </c>
      <c r="J46" s="134">
        <v>0</v>
      </c>
      <c r="K46" s="134">
        <v>1</v>
      </c>
      <c r="L46" s="135">
        <f>H46+I46+J46-K46</f>
        <v>5</v>
      </c>
    </row>
    <row r="47" spans="2:12" x14ac:dyDescent="0.2">
      <c r="B47" s="131" t="s">
        <v>98</v>
      </c>
      <c r="C47" s="137">
        <v>-1</v>
      </c>
      <c r="D47" s="137">
        <v>2</v>
      </c>
      <c r="E47" s="137">
        <v>3.5</v>
      </c>
      <c r="F47" s="137">
        <f t="shared" ref="F47:F49" si="7">C47+D47+E47</f>
        <v>4.5</v>
      </c>
      <c r="G47" s="133" t="s">
        <v>106</v>
      </c>
      <c r="H47" s="137">
        <v>3.5</v>
      </c>
      <c r="I47" s="137">
        <v>0.5</v>
      </c>
      <c r="J47" s="137">
        <v>1</v>
      </c>
      <c r="K47" s="137">
        <v>1</v>
      </c>
      <c r="L47" s="139">
        <f t="shared" ref="L47:L49" si="8">H47+I47+J47-K47</f>
        <v>4</v>
      </c>
    </row>
    <row r="48" spans="2:12" x14ac:dyDescent="0.2">
      <c r="B48" s="132" t="s">
        <v>100</v>
      </c>
      <c r="C48" s="134">
        <v>-1</v>
      </c>
      <c r="D48" s="134">
        <v>2</v>
      </c>
      <c r="E48" s="134">
        <v>3.5</v>
      </c>
      <c r="F48" s="134">
        <f t="shared" si="7"/>
        <v>4.5</v>
      </c>
      <c r="G48" s="134" t="s">
        <v>105</v>
      </c>
      <c r="H48" s="134">
        <v>4</v>
      </c>
      <c r="I48" s="134">
        <v>1</v>
      </c>
      <c r="J48" s="134">
        <v>0.5</v>
      </c>
      <c r="K48" s="134">
        <v>0.5</v>
      </c>
      <c r="L48" s="135">
        <f t="shared" si="8"/>
        <v>5</v>
      </c>
    </row>
    <row r="49" spans="2:12" ht="17" thickBot="1" x14ac:dyDescent="0.25">
      <c r="B49" s="142" t="s">
        <v>102</v>
      </c>
      <c r="C49" s="138">
        <v>-1</v>
      </c>
      <c r="D49" s="138">
        <v>2</v>
      </c>
      <c r="E49" s="138">
        <v>5</v>
      </c>
      <c r="F49" s="138">
        <f t="shared" si="7"/>
        <v>6</v>
      </c>
      <c r="G49" s="136" t="s">
        <v>105</v>
      </c>
      <c r="H49" s="138">
        <v>7.5</v>
      </c>
      <c r="I49" s="138">
        <v>10</v>
      </c>
      <c r="J49" s="138">
        <v>-8.5</v>
      </c>
      <c r="K49" s="138">
        <v>2</v>
      </c>
      <c r="L49" s="140">
        <f t="shared" si="8"/>
        <v>7</v>
      </c>
    </row>
    <row r="52" spans="2:12" x14ac:dyDescent="0.2">
      <c r="B52" s="2" t="s">
        <v>86</v>
      </c>
    </row>
    <row r="53" spans="2:12" ht="17" thickBot="1" x14ac:dyDescent="0.25"/>
    <row r="54" spans="2:12" ht="17.5" customHeight="1" x14ac:dyDescent="0.2">
      <c r="B54" s="159" t="s">
        <v>152</v>
      </c>
      <c r="C54" s="108" t="s">
        <v>87</v>
      </c>
      <c r="D54" s="108" t="s">
        <v>88</v>
      </c>
      <c r="E54" s="108" t="s">
        <v>89</v>
      </c>
      <c r="F54" s="108" t="s">
        <v>90</v>
      </c>
      <c r="G54" s="108" t="s">
        <v>91</v>
      </c>
      <c r="H54" s="108" t="s">
        <v>92</v>
      </c>
      <c r="I54" s="108" t="s">
        <v>93</v>
      </c>
      <c r="J54" s="108" t="s">
        <v>94</v>
      </c>
      <c r="K54" s="109" t="s">
        <v>95</v>
      </c>
    </row>
    <row r="55" spans="2:12" ht="17.5" customHeight="1" x14ac:dyDescent="0.2">
      <c r="B55" s="132" t="s">
        <v>96</v>
      </c>
      <c r="C55" s="134">
        <v>1.5</v>
      </c>
      <c r="D55" s="134">
        <v>3.5</v>
      </c>
      <c r="E55" s="134">
        <f>C55+D55</f>
        <v>5</v>
      </c>
      <c r="F55" s="134">
        <v>4.5</v>
      </c>
      <c r="G55" s="141">
        <v>1.5</v>
      </c>
      <c r="H55" s="134">
        <v>1</v>
      </c>
      <c r="I55" s="134">
        <f>F55+G55-H55</f>
        <v>5</v>
      </c>
      <c r="J55" s="134">
        <f>I55-E55</f>
        <v>0</v>
      </c>
      <c r="K55" s="135" t="s">
        <v>97</v>
      </c>
    </row>
    <row r="56" spans="2:12" ht="17.5" customHeight="1" x14ac:dyDescent="0.2">
      <c r="B56" s="132" t="s">
        <v>98</v>
      </c>
      <c r="C56" s="137">
        <v>0.5</v>
      </c>
      <c r="D56" s="137">
        <v>3</v>
      </c>
      <c r="E56" s="137">
        <f t="shared" ref="E56:E58" si="9">C56+D56</f>
        <v>3.5</v>
      </c>
      <c r="F56" s="137">
        <v>3.5</v>
      </c>
      <c r="G56" s="133">
        <v>0.5</v>
      </c>
      <c r="H56" s="137">
        <v>1</v>
      </c>
      <c r="I56" s="137">
        <f t="shared" ref="I56:I58" si="10">F56+G56-H56</f>
        <v>3</v>
      </c>
      <c r="J56" s="137">
        <f t="shared" ref="J56:J58" si="11">I56-E56</f>
        <v>-0.5</v>
      </c>
      <c r="K56" s="139" t="s">
        <v>99</v>
      </c>
    </row>
    <row r="57" spans="2:12" ht="17.5" customHeight="1" x14ac:dyDescent="0.2">
      <c r="B57" s="132" t="s">
        <v>100</v>
      </c>
      <c r="C57" s="134">
        <v>1</v>
      </c>
      <c r="D57" s="134">
        <v>3</v>
      </c>
      <c r="E57" s="134">
        <f t="shared" si="9"/>
        <v>4</v>
      </c>
      <c r="F57" s="134">
        <v>4</v>
      </c>
      <c r="G57" s="134">
        <v>1</v>
      </c>
      <c r="H57" s="134">
        <v>0.5</v>
      </c>
      <c r="I57" s="134">
        <f t="shared" si="10"/>
        <v>4.5</v>
      </c>
      <c r="J57" s="134">
        <f t="shared" si="11"/>
        <v>0.5</v>
      </c>
      <c r="K57" s="135" t="s">
        <v>101</v>
      </c>
    </row>
    <row r="58" spans="2:12" ht="17.5" customHeight="1" thickBot="1" x14ac:dyDescent="0.25">
      <c r="B58" s="142" t="s">
        <v>102</v>
      </c>
      <c r="C58" s="138">
        <v>10</v>
      </c>
      <c r="D58" s="138">
        <v>4.5</v>
      </c>
      <c r="E58" s="138">
        <f t="shared" si="9"/>
        <v>14.5</v>
      </c>
      <c r="F58" s="138">
        <v>7.5</v>
      </c>
      <c r="G58" s="136">
        <v>10</v>
      </c>
      <c r="H58" s="138">
        <v>2</v>
      </c>
      <c r="I58" s="138">
        <f t="shared" si="10"/>
        <v>15.5</v>
      </c>
      <c r="J58" s="138">
        <f t="shared" si="11"/>
        <v>1</v>
      </c>
      <c r="K58" s="140" t="s">
        <v>101</v>
      </c>
    </row>
    <row r="59" spans="2:12" ht="15" customHeight="1" x14ac:dyDescent="0.2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8F3FE-068D-0C40-9FD5-9FEF62FC537A}">
  <sheetPr>
    <tabColor theme="4" tint="0.59999389629810485"/>
  </sheetPr>
  <dimension ref="B2:G23"/>
  <sheetViews>
    <sheetView showGridLines="0" tabSelected="1" workbookViewId="0">
      <selection activeCell="H21" sqref="H21"/>
    </sheetView>
  </sheetViews>
  <sheetFormatPr baseColWidth="10" defaultColWidth="11" defaultRowHeight="16" x14ac:dyDescent="0.2"/>
  <cols>
    <col min="1" max="1" width="5" customWidth="1"/>
    <col min="2" max="2" width="19.33203125" customWidth="1"/>
    <col min="3" max="3" width="13.83203125" customWidth="1"/>
    <col min="4" max="4" width="17.83203125" customWidth="1"/>
    <col min="5" max="5" width="19" customWidth="1"/>
    <col min="6" max="6" width="12.6640625" customWidth="1"/>
    <col min="7" max="7" width="17.6640625" customWidth="1"/>
  </cols>
  <sheetData>
    <row r="2" spans="2:7" ht="17" thickBot="1" x14ac:dyDescent="0.25">
      <c r="B2" s="2" t="s">
        <v>124</v>
      </c>
      <c r="C2" s="2"/>
      <c r="D2" s="2"/>
      <c r="E2" s="2" t="s">
        <v>125</v>
      </c>
      <c r="F2" s="2"/>
      <c r="G2" s="2"/>
    </row>
    <row r="3" spans="2:7" x14ac:dyDescent="0.2">
      <c r="B3" s="56" t="s">
        <v>138</v>
      </c>
      <c r="C3" s="160">
        <v>100</v>
      </c>
      <c r="E3" s="56" t="s">
        <v>137</v>
      </c>
      <c r="F3" s="160">
        <v>100</v>
      </c>
    </row>
    <row r="4" spans="2:7" x14ac:dyDescent="0.2">
      <c r="B4" s="58" t="s">
        <v>50</v>
      </c>
      <c r="C4" s="157">
        <v>0.5</v>
      </c>
      <c r="E4" s="58" t="s">
        <v>50</v>
      </c>
      <c r="F4" s="157">
        <v>0.5</v>
      </c>
    </row>
    <row r="5" spans="2:7" x14ac:dyDescent="0.2">
      <c r="B5" s="58" t="s">
        <v>52</v>
      </c>
      <c r="C5" s="161">
        <f>C3*C4</f>
        <v>50</v>
      </c>
      <c r="E5" s="58" t="s">
        <v>52</v>
      </c>
      <c r="F5" s="161">
        <f>F3*F4</f>
        <v>50</v>
      </c>
    </row>
    <row r="6" spans="2:7" x14ac:dyDescent="0.2">
      <c r="B6" s="58" t="s">
        <v>53</v>
      </c>
      <c r="C6" s="162">
        <f>C3-C5</f>
        <v>50</v>
      </c>
      <c r="E6" s="58" t="s">
        <v>53</v>
      </c>
      <c r="F6" s="162">
        <f>F3-F5</f>
        <v>50</v>
      </c>
    </row>
    <row r="7" spans="2:7" ht="17" thickBot="1" x14ac:dyDescent="0.25">
      <c r="B7" s="59" t="s">
        <v>51</v>
      </c>
      <c r="C7" s="158">
        <v>6.2E-2</v>
      </c>
      <c r="E7" s="59" t="s">
        <v>51</v>
      </c>
      <c r="F7" s="158">
        <v>5.1999999999999998E-2</v>
      </c>
    </row>
    <row r="8" spans="2:7" ht="17" thickBot="1" x14ac:dyDescent="0.25"/>
    <row r="9" spans="2:7" x14ac:dyDescent="0.2">
      <c r="B9" s="155" t="s">
        <v>151</v>
      </c>
      <c r="C9" s="149" t="s">
        <v>126</v>
      </c>
      <c r="D9" s="149" t="s">
        <v>127</v>
      </c>
      <c r="E9" s="156" t="s">
        <v>150</v>
      </c>
      <c r="F9" s="149" t="s">
        <v>128</v>
      </c>
      <c r="G9" s="150" t="s">
        <v>149</v>
      </c>
    </row>
    <row r="10" spans="2:7" x14ac:dyDescent="0.2">
      <c r="B10" s="151" t="s">
        <v>129</v>
      </c>
      <c r="C10" s="71">
        <v>5</v>
      </c>
      <c r="D10" s="71"/>
      <c r="E10" s="71" t="s">
        <v>129</v>
      </c>
      <c r="F10" s="71">
        <v>5.5</v>
      </c>
      <c r="G10" s="147"/>
    </row>
    <row r="11" spans="2:7" x14ac:dyDescent="0.2">
      <c r="B11" s="151" t="s">
        <v>130</v>
      </c>
      <c r="C11" s="71">
        <v>-0.3</v>
      </c>
      <c r="D11" s="71"/>
      <c r="E11" s="71" t="s">
        <v>130</v>
      </c>
      <c r="F11" s="71">
        <v>-0.5</v>
      </c>
      <c r="G11" s="147"/>
    </row>
    <row r="12" spans="2:7" x14ac:dyDescent="0.2">
      <c r="B12" s="151" t="s">
        <v>48</v>
      </c>
      <c r="C12" s="152">
        <f>-C5*C7</f>
        <v>-3.1</v>
      </c>
      <c r="D12" s="71"/>
      <c r="E12" s="71" t="s">
        <v>48</v>
      </c>
      <c r="F12" s="71">
        <v>-2.6</v>
      </c>
      <c r="G12" s="147"/>
    </row>
    <row r="13" spans="2:7" x14ac:dyDescent="0.2">
      <c r="B13" s="151" t="s">
        <v>131</v>
      </c>
      <c r="C13" s="71">
        <f>C10+C11+C12</f>
        <v>1.6</v>
      </c>
      <c r="D13" s="148">
        <f>C13/C6</f>
        <v>3.2000000000000001E-2</v>
      </c>
      <c r="E13" s="71" t="s">
        <v>131</v>
      </c>
      <c r="F13" s="71">
        <f>F10+F11+F12</f>
        <v>2.4</v>
      </c>
      <c r="G13" s="153">
        <f>F13/C6</f>
        <v>4.8000000000000001E-2</v>
      </c>
    </row>
    <row r="14" spans="2:7" x14ac:dyDescent="0.2">
      <c r="B14" s="151" t="s">
        <v>132</v>
      </c>
      <c r="C14" s="71">
        <v>2</v>
      </c>
      <c r="D14" s="71"/>
      <c r="E14" s="71" t="s">
        <v>132</v>
      </c>
      <c r="F14" s="71">
        <v>2.5</v>
      </c>
      <c r="G14" s="147"/>
    </row>
    <row r="15" spans="2:7" x14ac:dyDescent="0.2">
      <c r="B15" s="151" t="s">
        <v>133</v>
      </c>
      <c r="C15" s="71">
        <v>0</v>
      </c>
      <c r="D15" s="71"/>
      <c r="E15" s="71" t="s">
        <v>133</v>
      </c>
      <c r="F15" s="71">
        <v>-0.3</v>
      </c>
      <c r="G15" s="147"/>
    </row>
    <row r="16" spans="2:7" x14ac:dyDescent="0.2">
      <c r="B16" s="151" t="s">
        <v>134</v>
      </c>
      <c r="C16" s="71">
        <f>C13+C14+C15</f>
        <v>3.6</v>
      </c>
      <c r="D16" s="154">
        <f>C16/C6</f>
        <v>7.2000000000000008E-2</v>
      </c>
      <c r="E16" s="71" t="s">
        <v>134</v>
      </c>
      <c r="F16" s="71">
        <f>F13+F14+F15</f>
        <v>4.6000000000000005</v>
      </c>
      <c r="G16" s="153">
        <f>F16/F6</f>
        <v>9.2000000000000012E-2</v>
      </c>
    </row>
    <row r="17" spans="2:7" x14ac:dyDescent="0.2">
      <c r="B17" s="163"/>
      <c r="C17" s="164"/>
      <c r="D17" s="164"/>
      <c r="E17" s="165" t="s">
        <v>135</v>
      </c>
      <c r="F17" s="165"/>
      <c r="G17" s="166">
        <v>0.01</v>
      </c>
    </row>
    <row r="18" spans="2:7" x14ac:dyDescent="0.2">
      <c r="B18" s="167"/>
      <c r="C18" s="168"/>
      <c r="D18" s="168"/>
      <c r="E18" s="169" t="s">
        <v>136</v>
      </c>
      <c r="F18" s="169"/>
      <c r="G18" s="170">
        <f>G16+G17</f>
        <v>0.10200000000000001</v>
      </c>
    </row>
    <row r="23" spans="2:7" x14ac:dyDescent="0.2">
      <c r="C23" s="16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 11.2</vt:lpstr>
      <vt:lpstr>Table 11.3</vt:lpstr>
      <vt:lpstr>Figure 11.2</vt:lpstr>
      <vt:lpstr>Table 11.4</vt:lpstr>
      <vt:lpstr>Tables 11.5-9</vt:lpstr>
      <vt:lpstr>Tables 11.10-15</vt:lpstr>
      <vt:lpstr>Tables 11.16-21</vt:lpstr>
      <vt:lpstr>Table 11.23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2022-07-06T16:34:15Z</dcterms:created>
  <dcterms:modified xsi:type="dcterms:W3CDTF">2022-07-11T06:51:55Z</dcterms:modified>
</cp:coreProperties>
</file>