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drewbaum-my.sharepoint.com/personal/ab_andrewbaum_com/Documents/Academic/Publications/Books/REI/Website materials/Excel/Ang/"/>
    </mc:Choice>
  </mc:AlternateContent>
  <xr:revisionPtr revIDLastSave="1" documentId="8_{ABF1D94F-7865-024E-B9C7-DB163BA12219}" xr6:coauthVersionLast="47" xr6:coauthVersionMax="47" xr10:uidLastSave="{48A6B751-A80C-E44D-9FB3-2F9195704F8B}"/>
  <bookViews>
    <workbookView xWindow="0" yWindow="500" windowWidth="40960" windowHeight="20900" activeTab="3" xr2:uid="{ECA7A12F-6344-C24D-BC99-AAFAA02EDC33}"/>
  </bookViews>
  <sheets>
    <sheet name="Figures 10.1-6" sheetId="6" r:id="rId1"/>
    <sheet name="Table 10.1" sheetId="7" r:id="rId2"/>
    <sheet name="Table 10.2" sheetId="8" r:id="rId3"/>
    <sheet name="Tables 10.3, 10.4" sheetId="3" r:id="rId4"/>
    <sheet name="Table 10.8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7" l="1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8" i="10"/>
  <c r="E8" i="10"/>
  <c r="G8" i="10" s="1"/>
  <c r="C9" i="10"/>
  <c r="C10" i="10" s="1"/>
  <c r="C11" i="10" l="1"/>
  <c r="E10" i="10"/>
  <c r="G10" i="10" s="1"/>
  <c r="E9" i="10"/>
  <c r="G9" i="10" s="1"/>
  <c r="C12" i="10" l="1"/>
  <c r="E11" i="10"/>
  <c r="G11" i="10" s="1"/>
  <c r="C13" i="10" l="1"/>
  <c r="E12" i="10"/>
  <c r="G12" i="10" s="1"/>
  <c r="C14" i="10" l="1"/>
  <c r="E13" i="10"/>
  <c r="G13" i="10" s="1"/>
  <c r="C15" i="10" l="1"/>
  <c r="E14" i="10"/>
  <c r="G14" i="10" s="1"/>
  <c r="C16" i="10" l="1"/>
  <c r="E15" i="10"/>
  <c r="G15" i="10" s="1"/>
  <c r="C17" i="10" l="1"/>
  <c r="E16" i="10"/>
  <c r="G16" i="10" s="1"/>
  <c r="C18" i="10" l="1"/>
  <c r="E17" i="10"/>
  <c r="G17" i="10" s="1"/>
  <c r="C19" i="10" l="1"/>
  <c r="E18" i="10"/>
  <c r="G18" i="10" s="1"/>
  <c r="C20" i="10" l="1"/>
  <c r="E19" i="10"/>
  <c r="G19" i="10" s="1"/>
  <c r="C21" i="10" l="1"/>
  <c r="E20" i="10"/>
  <c r="G20" i="10" s="1"/>
  <c r="C22" i="10" l="1"/>
  <c r="E21" i="10"/>
  <c r="G21" i="10" s="1"/>
  <c r="D26" i="3"/>
  <c r="D27" i="3" s="1"/>
  <c r="D21" i="3"/>
  <c r="D22" i="3" s="1"/>
  <c r="D16" i="3"/>
  <c r="E15" i="3"/>
  <c r="F15" i="3" s="1"/>
  <c r="H15" i="3"/>
  <c r="I15" i="3" s="1"/>
  <c r="E16" i="3"/>
  <c r="H16" i="3"/>
  <c r="I16" i="3" s="1"/>
  <c r="E17" i="3"/>
  <c r="H17" i="3"/>
  <c r="I17" i="3" s="1"/>
  <c r="E18" i="3"/>
  <c r="H18" i="3"/>
  <c r="I18" i="3" s="1"/>
  <c r="E19" i="3"/>
  <c r="H19" i="3"/>
  <c r="I19" i="3" s="1"/>
  <c r="E20" i="3"/>
  <c r="F20" i="3" s="1"/>
  <c r="H20" i="3"/>
  <c r="I20" i="3" s="1"/>
  <c r="E21" i="3"/>
  <c r="H21" i="3"/>
  <c r="I21" i="3" s="1"/>
  <c r="E22" i="3"/>
  <c r="H22" i="3"/>
  <c r="I22" i="3" s="1"/>
  <c r="E23" i="3"/>
  <c r="H23" i="3"/>
  <c r="I23" i="3" s="1"/>
  <c r="E24" i="3"/>
  <c r="H24" i="3"/>
  <c r="I24" i="3" s="1"/>
  <c r="E25" i="3"/>
  <c r="F25" i="3" s="1"/>
  <c r="H25" i="3"/>
  <c r="I25" i="3" s="1"/>
  <c r="E26" i="3"/>
  <c r="H26" i="3"/>
  <c r="I26" i="3" s="1"/>
  <c r="E27" i="3"/>
  <c r="H27" i="3"/>
  <c r="I27" i="3" s="1"/>
  <c r="E28" i="3"/>
  <c r="H28" i="3"/>
  <c r="I28" i="3" s="1"/>
  <c r="E29" i="3"/>
  <c r="H29" i="3"/>
  <c r="I29" i="3" s="1"/>
  <c r="D7" i="8"/>
  <c r="D6" i="8"/>
  <c r="D5" i="8"/>
  <c r="D8" i="8" s="1"/>
  <c r="C17" i="6"/>
  <c r="C30" i="6" s="1"/>
  <c r="C9" i="6"/>
  <c r="C6" i="6"/>
  <c r="C8" i="7"/>
  <c r="F8" i="7" s="1"/>
  <c r="C7" i="7"/>
  <c r="E7" i="7" s="1"/>
  <c r="C5" i="7"/>
  <c r="C6" i="7" s="1"/>
  <c r="C3" i="7"/>
  <c r="G7" i="7" s="1"/>
  <c r="F21" i="3" l="1"/>
  <c r="F26" i="3"/>
  <c r="F16" i="3"/>
  <c r="D29" i="3"/>
  <c r="F29" i="3" s="1"/>
  <c r="D28" i="3"/>
  <c r="F28" i="3" s="1"/>
  <c r="F22" i="3"/>
  <c r="D23" i="3"/>
  <c r="D24" i="3" s="1"/>
  <c r="F24" i="3" s="1"/>
  <c r="F27" i="3"/>
  <c r="D17" i="3"/>
  <c r="E9" i="7"/>
  <c r="D7" i="7"/>
  <c r="H7" i="7"/>
  <c r="F7" i="7"/>
  <c r="E8" i="7"/>
  <c r="C23" i="10"/>
  <c r="E22" i="10"/>
  <c r="G22" i="10" s="1"/>
  <c r="I31" i="3"/>
  <c r="C19" i="6"/>
  <c r="C31" i="6" s="1"/>
  <c r="F9" i="7"/>
  <c r="D8" i="7"/>
  <c r="D9" i="7" s="1"/>
  <c r="H8" i="7"/>
  <c r="H9" i="7" s="1"/>
  <c r="G8" i="7"/>
  <c r="G9" i="7" s="1"/>
  <c r="C10" i="6"/>
  <c r="C13" i="6" s="1"/>
  <c r="C4" i="7"/>
  <c r="C9" i="7" s="1"/>
  <c r="F17" i="3" l="1"/>
  <c r="D18" i="3"/>
  <c r="F23" i="3"/>
  <c r="C32" i="6"/>
  <c r="C34" i="6" s="1"/>
  <c r="C21" i="6"/>
  <c r="C23" i="6" s="1"/>
  <c r="C25" i="6"/>
  <c r="C27" i="6" s="1"/>
  <c r="C24" i="10"/>
  <c r="E23" i="10"/>
  <c r="G23" i="10" s="1"/>
  <c r="F18" i="3" l="1"/>
  <c r="D19" i="3"/>
  <c r="F19" i="3" s="1"/>
  <c r="F31" i="3" s="1"/>
  <c r="C33" i="6"/>
  <c r="C25" i="10"/>
  <c r="E24" i="10"/>
  <c r="G24" i="10" s="1"/>
  <c r="C26" i="10" l="1"/>
  <c r="E25" i="10"/>
  <c r="G25" i="10" s="1"/>
  <c r="C27" i="10" l="1"/>
  <c r="E27" i="10" s="1"/>
  <c r="G27" i="10" s="1"/>
  <c r="G28" i="10" s="1"/>
  <c r="E26" i="10"/>
  <c r="G26" i="10" s="1"/>
</calcChain>
</file>

<file path=xl/sharedStrings.xml><?xml version="1.0" encoding="utf-8"?>
<sst xmlns="http://schemas.openxmlformats.org/spreadsheetml/2006/main" count="82" uniqueCount="70">
  <si>
    <t>PV</t>
  </si>
  <si>
    <t>IRR</t>
  </si>
  <si>
    <t xml:space="preserve">Rental value on a standard lease: </t>
  </si>
  <si>
    <t>Annuity</t>
  </si>
  <si>
    <t>Discount rate</t>
  </si>
  <si>
    <t>Rent</t>
  </si>
  <si>
    <t>Interest rate</t>
  </si>
  <si>
    <t>Inflation</t>
  </si>
  <si>
    <t>Year</t>
  </si>
  <si>
    <t>Capital</t>
  </si>
  <si>
    <t>Initial rent</t>
  </si>
  <si>
    <t>Uplift</t>
  </si>
  <si>
    <t>PV £1</t>
  </si>
  <si>
    <t>Total</t>
  </si>
  <si>
    <t>Fee</t>
  </si>
  <si>
    <t>Interest earned</t>
  </si>
  <si>
    <t>Interest paid</t>
  </si>
  <si>
    <t>Senior debt</t>
  </si>
  <si>
    <t>Interest (£m)</t>
  </si>
  <si>
    <t>Tranche</t>
  </si>
  <si>
    <t>Tranche interest rate</t>
  </si>
  <si>
    <t>Interest on tranche</t>
  </si>
  <si>
    <t>Residual income</t>
  </si>
  <si>
    <t>Residual interest rate</t>
  </si>
  <si>
    <t>Residual value</t>
  </si>
  <si>
    <t>Total sold</t>
  </si>
  <si>
    <t>Pool B</t>
  </si>
  <si>
    <t>Pool A loans</t>
  </si>
  <si>
    <t>Pool A interest</t>
  </si>
  <si>
    <t>Pool A interest rate</t>
  </si>
  <si>
    <t>Pool A value</t>
  </si>
  <si>
    <t>Pool B value</t>
  </si>
  <si>
    <t>Pool B interest rate</t>
  </si>
  <si>
    <t>Uses of income</t>
  </si>
  <si>
    <t>Junior debt</t>
  </si>
  <si>
    <t>Equity</t>
  </si>
  <si>
    <t>Equity yield</t>
  </si>
  <si>
    <t>Type</t>
  </si>
  <si>
    <t>NAV</t>
  </si>
  <si>
    <t>% of index</t>
  </si>
  <si>
    <t>Balanced</t>
  </si>
  <si>
    <t>Long Income</t>
  </si>
  <si>
    <t>Specialist</t>
  </si>
  <si>
    <t>Table 10.2</t>
  </si>
  <si>
    <t>15-year lease</t>
  </si>
  <si>
    <t>10 year lease, 5 year break</t>
  </si>
  <si>
    <t>Target return</t>
  </si>
  <si>
    <t>Total value</t>
  </si>
  <si>
    <t>Rent free years</t>
  </si>
  <si>
    <t>Lease renewal probability</t>
  </si>
  <si>
    <t>Lease break probability</t>
  </si>
  <si>
    <t>Re-letting costs</t>
  </si>
  <si>
    <t>Expected rental growth</t>
  </si>
  <si>
    <t>Rental growth volatility</t>
  </si>
  <si>
    <t>Expected void quarters</t>
  </si>
  <si>
    <t>Void volatility quarters</t>
  </si>
  <si>
    <t>Empty property costs pa</t>
  </si>
  <si>
    <t>INPUTS</t>
  </si>
  <si>
    <t>Property value (m)</t>
  </si>
  <si>
    <t>Senior debt (m)</t>
  </si>
  <si>
    <t>Total (check)</t>
  </si>
  <si>
    <t>PV £12</t>
  </si>
  <si>
    <t>Column3</t>
  </si>
  <si>
    <t>Colu mn1</t>
  </si>
  <si>
    <t>0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</si>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</sst>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_);[Red]\(&quot;£&quot;#,##0\)"/>
    <numFmt numFmtId="164" formatCode="&quot;£&quot;#,##0"/>
    <numFmt numFmtId="165" formatCode="0.0%"/>
    <numFmt numFmtId="166" formatCode="#,##0.0000"/>
    <numFmt numFmtId="167" formatCode="0.00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4" tint="0.59996337778862885"/>
      </bottom>
      <diagonal/>
    </border>
    <border>
      <left/>
      <right style="medium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medium">
        <color indexed="64"/>
      </right>
      <top style="thin">
        <color theme="4" tint="0.59996337778862885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4" tint="0.599963377788628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164" fontId="0" fillId="0" borderId="0" xfId="0" applyNumberFormat="1"/>
    <xf numFmtId="9" fontId="0" fillId="0" borderId="0" xfId="1" applyFont="1"/>
    <xf numFmtId="165" fontId="0" fillId="0" borderId="0" xfId="1" applyNumberFormat="1" applyFont="1"/>
    <xf numFmtId="10" fontId="0" fillId="0" borderId="0" xfId="0" applyNumberFormat="1"/>
    <xf numFmtId="6" fontId="0" fillId="0" borderId="0" xfId="0" applyNumberFormat="1"/>
    <xf numFmtId="0" fontId="3" fillId="0" borderId="0" xfId="0" applyFont="1"/>
    <xf numFmtId="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6" fontId="0" fillId="2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0" fontId="0" fillId="2" borderId="8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3" fontId="0" fillId="0" borderId="12" xfId="0" applyNumberFormat="1" applyFont="1" applyBorder="1"/>
    <xf numFmtId="3" fontId="0" fillId="0" borderId="13" xfId="0" applyNumberFormat="1" applyFont="1" applyBorder="1"/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 vertical="center"/>
    </xf>
    <xf numFmtId="3" fontId="3" fillId="0" borderId="17" xfId="0" applyNumberFormat="1" applyFont="1" applyBorder="1"/>
    <xf numFmtId="10" fontId="6" fillId="0" borderId="17" xfId="1" applyNumberFormat="1" applyFont="1" applyFill="1" applyBorder="1" applyAlignment="1">
      <alignment vertical="center"/>
    </xf>
    <xf numFmtId="3" fontId="3" fillId="0" borderId="13" xfId="0" applyNumberFormat="1" applyFont="1" applyBorder="1"/>
    <xf numFmtId="164" fontId="6" fillId="0" borderId="13" xfId="0" applyNumberFormat="1" applyFont="1" applyBorder="1" applyAlignment="1">
      <alignment vertical="center"/>
    </xf>
    <xf numFmtId="0" fontId="5" fillId="3" borderId="3" xfId="0" applyFont="1" applyFill="1" applyBorder="1"/>
    <xf numFmtId="164" fontId="2" fillId="2" borderId="14" xfId="0" applyNumberFormat="1" applyFont="1" applyFill="1" applyBorder="1" applyAlignment="1">
      <alignment horizontal="center" vertical="center"/>
    </xf>
    <xf numFmtId="0" fontId="5" fillId="3" borderId="5" xfId="0" applyFont="1" applyFill="1" applyBorder="1"/>
    <xf numFmtId="1" fontId="2" fillId="0" borderId="15" xfId="0" applyNumberFormat="1" applyFont="1" applyBorder="1" applyAlignment="1">
      <alignment horizontal="center" vertical="center"/>
    </xf>
    <xf numFmtId="9" fontId="2" fillId="2" borderId="15" xfId="1" applyFont="1" applyFill="1" applyBorder="1" applyAlignment="1">
      <alignment horizontal="center" vertical="center"/>
    </xf>
    <xf numFmtId="9" fontId="2" fillId="0" borderId="15" xfId="1" applyFont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0" fontId="2" fillId="2" borderId="15" xfId="1" applyNumberFormat="1" applyFont="1" applyFill="1" applyBorder="1" applyAlignment="1">
      <alignment horizontal="center" vertical="center"/>
    </xf>
    <xf numFmtId="10" fontId="2" fillId="0" borderId="15" xfId="1" applyNumberFormat="1" applyFont="1" applyBorder="1" applyAlignment="1">
      <alignment horizontal="center" vertical="center"/>
    </xf>
    <xf numFmtId="0" fontId="5" fillId="3" borderId="7" xfId="0" applyFont="1" applyFill="1" applyBorder="1"/>
    <xf numFmtId="10" fontId="2" fillId="2" borderId="16" xfId="1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3" fillId="0" borderId="0" xfId="0" applyNumberFormat="1" applyFont="1"/>
    <xf numFmtId="10" fontId="3" fillId="0" borderId="0" xfId="1" applyNumberFormat="1" applyFont="1"/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1" fillId="0" borderId="9" xfId="1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0" fontId="1" fillId="0" borderId="10" xfId="1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</cellXfs>
  <cellStyles count="2">
    <cellStyle name="Normal" xfId="0" builtinId="0"/>
    <cellStyle name="Per cent" xfId="1" builtinId="5"/>
  </cellStyles>
  <dxfs count="38">
    <dxf>
      <numFmt numFmtId="10" formatCode="&quot;£&quot;#,##0_);[Red]\(&quot;£&quot;#,##0\)"/>
      <alignment horizontal="center" vertical="center" textRotation="0" wrapText="0" indent="0" justifyLastLine="0" shrinkToFit="0" readingOrder="0"/>
    </dxf>
    <dxf>
      <numFmt numFmtId="167" formatCode="0.0000"/>
      <alignment horizontal="center" vertical="center" textRotation="0" wrapText="0" indent="0" justifyLastLine="0" shrinkToFit="0" readingOrder="0"/>
    </dxf>
    <dxf>
      <numFmt numFmtId="10" formatCode="&quot;£&quot;#,##0_);[Red]\(&quot;£&quot;#,##0\)"/>
      <alignment horizontal="center" vertical="center" textRotation="0" wrapText="0" indent="0" justifyLastLine="0" shrinkToFit="0" readingOrder="0"/>
    </dxf>
    <dxf>
      <numFmt numFmtId="10" formatCode="&quot;£&quot;#,##0_);[Red]\(&quot;£&quot;#,##0\)"/>
      <alignment horizontal="center" vertical="center" textRotation="0" wrapText="0" indent="0" justifyLastLine="0" shrinkToFit="0" readingOrder="0"/>
    </dxf>
    <dxf>
      <numFmt numFmtId="10" formatCode="&quot;£&quot;#,##0_);[Red]\(&quot;£&quot;#,##0\)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64" formatCode="&quot;£&quot;#,##0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59996337778862885"/>
        </top>
        <bottom style="thin">
          <color theme="4" tint="0.59996337778862885"/>
        </bottom>
        <vertical/>
        <horizontal style="thin">
          <color theme="4" tint="0.599963377788628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#,##0.0000"/>
      <border diagonalUp="0" diagonalDown="0">
        <left/>
        <right/>
        <top style="thin">
          <color theme="4" tint="0.59996337778862885"/>
        </top>
        <bottom style="thin">
          <color theme="4" tint="0.59996337778862885"/>
        </bottom>
        <vertical/>
        <horizontal style="thin">
          <color theme="4" tint="0.599963377788628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64" formatCode="&quot;£&quot;#,##0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59996337778862885"/>
        </top>
        <bottom style="thin">
          <color theme="4" tint="0.59996337778862885"/>
        </bottom>
        <vertical/>
        <horizontal style="thin">
          <color theme="4" tint="0.599963377788628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64" formatCode="&quot;£&quot;#,##0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59996337778862885"/>
        </top>
        <bottom style="thin">
          <color theme="4" tint="0.59996337778862885"/>
        </bottom>
        <vertical/>
        <horizontal style="thin">
          <color theme="4" tint="0.599963377788628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#,##0.0000"/>
      <border diagonalUp="0" diagonalDown="0">
        <left/>
        <right/>
        <top style="thin">
          <color theme="4" tint="0.59996337778862885"/>
        </top>
        <bottom style="thin">
          <color theme="4" tint="0.59996337778862885"/>
        </bottom>
        <vertical/>
        <horizontal style="thin">
          <color theme="4" tint="0.599963377788628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64" formatCode="&quot;£&quot;#,##0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59996337778862885"/>
        </top>
        <bottom style="thin">
          <color theme="4" tint="0.59996337778862885"/>
        </bottom>
        <vertical/>
        <horizontal style="thin">
          <color theme="4" tint="0.599963377788628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59996337778862885"/>
        </top>
        <bottom style="thin">
          <color theme="4" tint="0.59996337778862885"/>
        </bottom>
        <vertical/>
        <horizontal style="thin">
          <color theme="4" tint="0.59996337778862885"/>
        </horizontal>
      </border>
    </dxf>
    <dxf>
      <border>
        <top style="thin">
          <color theme="4" tint="0.59996337778862885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theme="4" tint="0.59996337778862885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59996337778862885"/>
        </top>
        <bottom style="thin">
          <color theme="4" tint="0.59996337778862885"/>
        </bottom>
        <vertical/>
        <horizontal style="thin">
          <color theme="4" tint="0.599963377788628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59996337778862885"/>
        </top>
        <bottom style="thin">
          <color theme="4" tint="0.59996337778862885"/>
        </bottom>
        <vertical/>
        <horizontal style="thin">
          <color theme="4" tint="0.599963377788628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59996337778862885"/>
        </top>
        <bottom style="thin">
          <color theme="4" tint="0.59996337778862885"/>
        </bottom>
        <vertical/>
        <horizontal style="thin">
          <color theme="4" tint="0.59996337778862885"/>
        </horizontal>
      </border>
    </dxf>
    <dxf>
      <border>
        <top style="thin">
          <color theme="4" tint="0.59996337778862885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theme="4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70FB2E3-149A-4307-8F22-F3D766DD9B98}" name="Table4" displayName="Table4" ref="B2:H9" totalsRowShown="0" headerRowDxfId="37" dataDxfId="36" tableBorderDxfId="35">
  <tableColumns count="7">
    <tableColumn id="1" xr3:uid="{9382010F-BCF6-41A6-955A-7B0446C787C0}" name="Year" dataDxfId="34"/>
    <tableColumn id="2" xr3:uid="{99A26CF9-4676-41F1-9454-AEB89E8C8B3A}" name="0" dataDxfId="33"/>
    <tableColumn id="3" xr3:uid="{CAE2BF3C-0BA9-4920-9809-A02B61539652}" name="1" dataDxfId="32"/>
    <tableColumn id="4" xr3:uid="{22396F8A-0945-4B66-A6B7-345858944031}" name="2" dataDxfId="31"/>
    <tableColumn id="5" xr3:uid="{7A24DFDC-5E82-4F79-AACB-BC5B6297E1ED}" name="3" dataDxfId="30"/>
    <tableColumn id="6" xr3:uid="{B6A8FDE9-9A51-4766-A1E4-05F8F88E23CE}" name="4" dataDxfId="29"/>
    <tableColumn id="7" xr3:uid="{1DED307E-08C4-4713-9CDD-ADFDB13DCFF5}" name="5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CAB6395-A4C1-4467-9EA7-3990C9BDD746}" name="Table3" displayName="Table3" ref="B4:D8" totalsRowShown="0" headerRowDxfId="27" dataDxfId="25" headerRowBorderDxfId="26" tableBorderDxfId="24" totalsRowBorderDxfId="23">
  <tableColumns count="3">
    <tableColumn id="1" xr3:uid="{59201FE6-1143-4C34-B3D7-0BE1BC840256}" name="Type" dataDxfId="22"/>
    <tableColumn id="2" xr3:uid="{7D3DA6D7-A34C-4AE4-B4EF-D2D13E140474}" name="NAV" dataDxfId="21"/>
    <tableColumn id="3" xr3:uid="{70B6D9F6-0440-41FE-B6D5-50985B482932}" name="% of index" dataDxfId="2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C7DD23-E41C-459B-8D29-E5933092A36B}" name="Table2" displayName="Table2" ref="C14:I31" totalsRowShown="0" headerRowDxfId="19" headerRowBorderDxfId="18" tableBorderDxfId="17" totalsRowBorderDxfId="16">
  <tableColumns count="7">
    <tableColumn id="1" xr3:uid="{6A4D48FE-B0B8-4665-A748-4E7BA1DCD370}" name="Year" dataDxfId="15"/>
    <tableColumn id="2" xr3:uid="{177F35F3-637A-457C-B40D-FEF2593084E5}" name="15-year lease" dataDxfId="14"/>
    <tableColumn id="3" xr3:uid="{5D93CAFF-EFEA-4FF0-98B7-67DD6A4205F4}" name="PV £1" dataDxfId="13"/>
    <tableColumn id="4" xr3:uid="{B1D2175B-8ACC-48D8-9FCB-622773A28EF3}" name="Colu mn1" dataDxfId="12"/>
    <tableColumn id="5" xr3:uid="{D46CD1CE-3220-4296-873A-EC8DEC466152}" name="10 year lease, 5 year break" dataDxfId="11"/>
    <tableColumn id="6" xr3:uid="{1F947498-E00F-4964-ABB1-1FEB008B2582}" name="PV £12" dataDxfId="10"/>
    <tableColumn id="7" xr3:uid="{98FF4CDC-1BF7-4AFA-BA46-F432D08886F0}" name="Column3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4CC306-0EA6-464A-BC54-437C97CBE349}" name="Table1" displayName="Table1" ref="B7:G27" totalsRowShown="0" headerRowDxfId="8" dataDxfId="7" tableBorderDxfId="6">
  <tableColumns count="6">
    <tableColumn id="1" xr3:uid="{642BF701-C864-4C4C-A9D2-6F2DB403C784}" name="Year" dataDxfId="5"/>
    <tableColumn id="2" xr3:uid="{6E41AE0E-475A-49E2-A1DC-B0EACA411DBC}" name="Initial rent" dataDxfId="4">
      <calculatedColumnFormula>C7*(1+$C$4)</calculatedColumnFormula>
    </tableColumn>
    <tableColumn id="3" xr3:uid="{531CF8CE-9543-42C8-9339-FAD8744267FB}" name="Annuity" dataDxfId="3"/>
    <tableColumn id="4" xr3:uid="{4EF76140-EB91-4DBA-BD98-591007F7552C}" name="Uplift" dataDxfId="2">
      <calculatedColumnFormula>C8-D8</calculatedColumnFormula>
    </tableColumn>
    <tableColumn id="5" xr3:uid="{4351E9A6-026B-4A8C-AA47-D7A21AB29822}" name="PV £1" dataDxfId="1">
      <calculatedColumnFormula>1/(1+$C$5)^B8</calculatedColumnFormula>
    </tableColumn>
    <tableColumn id="6" xr3:uid="{94D5CB1A-A334-45B1-99DE-A1718DB7D5D1}" name="PV" dataDxfId="0">
      <calculatedColumnFormula>E8*F8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DE920-B36A-5842-A909-8C6EB97317DB}">
  <sheetPr>
    <tabColor theme="5" tint="0.59999389629810485"/>
  </sheetPr>
  <dimension ref="B1:C34"/>
  <sheetViews>
    <sheetView showGridLines="0" workbookViewId="0">
      <selection activeCell="C33" sqref="C33"/>
    </sheetView>
  </sheetViews>
  <sheetFormatPr baseColWidth="10" defaultColWidth="11" defaultRowHeight="16" x14ac:dyDescent="0.2"/>
  <cols>
    <col min="1" max="1" width="6" customWidth="1"/>
    <col min="2" max="2" width="18.1640625" customWidth="1"/>
  </cols>
  <sheetData>
    <row r="1" spans="2:3" ht="17" thickBot="1" x14ac:dyDescent="0.25"/>
    <row r="2" spans="2:3" x14ac:dyDescent="0.2">
      <c r="B2" s="74" t="s">
        <v>58</v>
      </c>
      <c r="C2" s="61">
        <v>400</v>
      </c>
    </row>
    <row r="3" spans="2:3" x14ac:dyDescent="0.2">
      <c r="B3" s="75" t="s">
        <v>5</v>
      </c>
      <c r="C3" s="59">
        <v>30</v>
      </c>
    </row>
    <row r="4" spans="2:3" x14ac:dyDescent="0.2">
      <c r="B4" s="75" t="s">
        <v>59</v>
      </c>
      <c r="C4" s="59">
        <v>320</v>
      </c>
    </row>
    <row r="5" spans="2:3" x14ac:dyDescent="0.2">
      <c r="B5" s="75" t="s">
        <v>6</v>
      </c>
      <c r="C5" s="62">
        <v>7.0000000000000007E-2</v>
      </c>
    </row>
    <row r="6" spans="2:3" ht="17" thickBot="1" x14ac:dyDescent="0.25">
      <c r="B6" s="76" t="s">
        <v>18</v>
      </c>
      <c r="C6" s="60">
        <f>C4*C5</f>
        <v>22.400000000000002</v>
      </c>
    </row>
    <row r="7" spans="2:3" ht="17" thickBot="1" x14ac:dyDescent="0.25">
      <c r="C7" s="6"/>
    </row>
    <row r="8" spans="2:3" x14ac:dyDescent="0.2">
      <c r="B8" s="77" t="s">
        <v>27</v>
      </c>
      <c r="C8" s="63">
        <v>4</v>
      </c>
    </row>
    <row r="9" spans="2:3" x14ac:dyDescent="0.2">
      <c r="B9" s="78" t="s">
        <v>27</v>
      </c>
      <c r="C9" s="64">
        <f>C4*C8</f>
        <v>1280</v>
      </c>
    </row>
    <row r="10" spans="2:3" ht="17" thickBot="1" x14ac:dyDescent="0.25">
      <c r="B10" s="79" t="s">
        <v>28</v>
      </c>
      <c r="C10" s="65">
        <f>C8*C6</f>
        <v>89.600000000000009</v>
      </c>
    </row>
    <row r="11" spans="2:3" ht="17" thickBot="1" x14ac:dyDescent="0.25">
      <c r="B11" s="8"/>
      <c r="C11" s="66"/>
    </row>
    <row r="12" spans="2:3" x14ac:dyDescent="0.2">
      <c r="B12" s="77" t="s">
        <v>29</v>
      </c>
      <c r="C12" s="67">
        <v>6.5000000000000002E-2</v>
      </c>
    </row>
    <row r="13" spans="2:3" ht="17" thickBot="1" x14ac:dyDescent="0.25">
      <c r="B13" s="79" t="s">
        <v>30</v>
      </c>
      <c r="C13" s="68">
        <f>C10/C12</f>
        <v>1378.4615384615386</v>
      </c>
    </row>
    <row r="14" spans="2:3" ht="17" thickBot="1" x14ac:dyDescent="0.25">
      <c r="B14" s="8"/>
      <c r="C14" s="66"/>
    </row>
    <row r="15" spans="2:3" x14ac:dyDescent="0.2">
      <c r="B15" s="77" t="s">
        <v>19</v>
      </c>
      <c r="C15" s="69">
        <v>200</v>
      </c>
    </row>
    <row r="16" spans="2:3" x14ac:dyDescent="0.2">
      <c r="B16" s="78" t="s">
        <v>20</v>
      </c>
      <c r="C16" s="70">
        <v>0.05</v>
      </c>
    </row>
    <row r="17" spans="2:3" ht="17" thickBot="1" x14ac:dyDescent="0.25">
      <c r="B17" s="79" t="s">
        <v>21</v>
      </c>
      <c r="C17" s="65">
        <f>C15*C16</f>
        <v>10</v>
      </c>
    </row>
    <row r="18" spans="2:3" ht="17" thickBot="1" x14ac:dyDescent="0.25">
      <c r="B18" s="8"/>
      <c r="C18" s="66"/>
    </row>
    <row r="19" spans="2:3" x14ac:dyDescent="0.2">
      <c r="B19" s="77" t="s">
        <v>22</v>
      </c>
      <c r="C19" s="69">
        <f>C6-C17</f>
        <v>12.400000000000002</v>
      </c>
    </row>
    <row r="20" spans="2:3" x14ac:dyDescent="0.2">
      <c r="B20" s="78" t="s">
        <v>23</v>
      </c>
      <c r="C20" s="70">
        <v>7.4999999999999997E-2</v>
      </c>
    </row>
    <row r="21" spans="2:3" ht="17" thickBot="1" x14ac:dyDescent="0.25">
      <c r="B21" s="79" t="s">
        <v>24</v>
      </c>
      <c r="C21" s="68">
        <f>C19/C20</f>
        <v>165.33333333333337</v>
      </c>
    </row>
    <row r="22" spans="2:3" ht="17" thickBot="1" x14ac:dyDescent="0.25">
      <c r="B22" s="8"/>
      <c r="C22" s="71"/>
    </row>
    <row r="23" spans="2:3" ht="17" thickBot="1" x14ac:dyDescent="0.25">
      <c r="B23" s="80" t="s">
        <v>25</v>
      </c>
      <c r="C23" s="72">
        <f>C21+C15</f>
        <v>365.33333333333337</v>
      </c>
    </row>
    <row r="24" spans="2:3" ht="17" thickBot="1" x14ac:dyDescent="0.25">
      <c r="B24" s="8"/>
      <c r="C24" s="66"/>
    </row>
    <row r="25" spans="2:3" x14ac:dyDescent="0.2">
      <c r="B25" s="77" t="s">
        <v>26</v>
      </c>
      <c r="C25" s="69">
        <f>C19*4</f>
        <v>49.600000000000009</v>
      </c>
    </row>
    <row r="26" spans="2:3" x14ac:dyDescent="0.2">
      <c r="B26" s="78" t="s">
        <v>32</v>
      </c>
      <c r="C26" s="70">
        <v>7.0000000000000007E-2</v>
      </c>
    </row>
    <row r="27" spans="2:3" ht="17" thickBot="1" x14ac:dyDescent="0.25">
      <c r="B27" s="79" t="s">
        <v>31</v>
      </c>
      <c r="C27" s="68">
        <f>C25/C26</f>
        <v>708.57142857142867</v>
      </c>
    </row>
    <row r="28" spans="2:3" ht="17" thickBot="1" x14ac:dyDescent="0.25">
      <c r="B28" s="8"/>
      <c r="C28" s="66"/>
    </row>
    <row r="29" spans="2:3" x14ac:dyDescent="0.2">
      <c r="B29" s="77" t="s">
        <v>33</v>
      </c>
      <c r="C29" s="63"/>
    </row>
    <row r="30" spans="2:3" x14ac:dyDescent="0.2">
      <c r="B30" s="78" t="s">
        <v>17</v>
      </c>
      <c r="C30" s="64">
        <f>C17</f>
        <v>10</v>
      </c>
    </row>
    <row r="31" spans="2:3" x14ac:dyDescent="0.2">
      <c r="B31" s="78" t="s">
        <v>34</v>
      </c>
      <c r="C31" s="64">
        <f>C19</f>
        <v>12.400000000000002</v>
      </c>
    </row>
    <row r="32" spans="2:3" x14ac:dyDescent="0.2">
      <c r="B32" s="78" t="s">
        <v>35</v>
      </c>
      <c r="C32" s="64">
        <f>C3-C30-C31</f>
        <v>7.5999999999999979</v>
      </c>
    </row>
    <row r="33" spans="2:3" x14ac:dyDescent="0.2">
      <c r="B33" s="78" t="s">
        <v>60</v>
      </c>
      <c r="C33" s="64">
        <f>C30+C31+C32</f>
        <v>30</v>
      </c>
    </row>
    <row r="34" spans="2:3" ht="17" thickBot="1" x14ac:dyDescent="0.25">
      <c r="B34" s="79" t="s">
        <v>36</v>
      </c>
      <c r="C34" s="73">
        <f>C32/(C2-C4)</f>
        <v>9.4999999999999973E-2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D530B-2648-F04F-A381-7210E54C0B62}">
  <sheetPr>
    <tabColor theme="4" tint="0.59999389629810485"/>
  </sheetPr>
  <dimension ref="B2:H11"/>
  <sheetViews>
    <sheetView showGridLines="0" workbookViewId="0">
      <selection activeCell="D11" sqref="D11"/>
    </sheetView>
  </sheetViews>
  <sheetFormatPr baseColWidth="10" defaultColWidth="11" defaultRowHeight="16" x14ac:dyDescent="0.2"/>
  <cols>
    <col min="2" max="2" width="14.6640625" customWidth="1"/>
    <col min="3" max="3" width="11.5" bestFit="1" customWidth="1"/>
  </cols>
  <sheetData>
    <row r="2" spans="2:8" x14ac:dyDescent="0.2">
      <c r="B2" s="15" t="s">
        <v>8</v>
      </c>
      <c r="C2" s="15" t="s">
        <v>64</v>
      </c>
      <c r="D2" s="15" t="s">
        <v>65</v>
      </c>
      <c r="E2" s="15" t="s">
        <v>66</v>
      </c>
      <c r="F2" s="15" t="s">
        <v>67</v>
      </c>
      <c r="G2" s="15" t="s">
        <v>68</v>
      </c>
      <c r="H2" s="15" t="s">
        <v>69</v>
      </c>
    </row>
    <row r="3" spans="2:8" x14ac:dyDescent="0.2">
      <c r="B3" s="54" t="s">
        <v>9</v>
      </c>
      <c r="C3" s="57">
        <f>-80000000</f>
        <v>-80000000</v>
      </c>
      <c r="D3" s="15"/>
      <c r="E3" s="15"/>
      <c r="F3" s="15"/>
      <c r="G3" s="15"/>
      <c r="H3" s="57">
        <v>20000000</v>
      </c>
    </row>
    <row r="4" spans="2:8" x14ac:dyDescent="0.2">
      <c r="B4" s="55" t="s">
        <v>14</v>
      </c>
      <c r="C4" s="57">
        <f>-C3*0.01</f>
        <v>800000</v>
      </c>
      <c r="D4" s="15"/>
      <c r="E4" s="15"/>
      <c r="F4" s="15"/>
      <c r="G4" s="15"/>
      <c r="H4" s="15"/>
    </row>
    <row r="5" spans="2:8" x14ac:dyDescent="0.2">
      <c r="B5" s="55" t="s">
        <v>9</v>
      </c>
      <c r="C5" s="57">
        <f>60000000</f>
        <v>60000000</v>
      </c>
      <c r="D5" s="15"/>
      <c r="E5" s="15"/>
      <c r="F5" s="15"/>
      <c r="G5" s="15"/>
      <c r="H5" s="15"/>
    </row>
    <row r="6" spans="2:8" x14ac:dyDescent="0.2">
      <c r="B6" s="55" t="s">
        <v>14</v>
      </c>
      <c r="C6" s="57">
        <f>-C5*0.0075</f>
        <v>-450000</v>
      </c>
      <c r="D6" s="15"/>
      <c r="E6" s="15"/>
      <c r="F6" s="15"/>
      <c r="G6" s="15"/>
      <c r="H6" s="15"/>
    </row>
    <row r="7" spans="2:8" x14ac:dyDescent="0.2">
      <c r="B7" s="55" t="s">
        <v>15</v>
      </c>
      <c r="C7" s="58">
        <f>0.06</f>
        <v>0.06</v>
      </c>
      <c r="D7" s="57">
        <f>-$C$7*$C$3</f>
        <v>4800000</v>
      </c>
      <c r="E7" s="57">
        <f t="shared" ref="E7:H7" si="0">-$C$7*$C$3</f>
        <v>4800000</v>
      </c>
      <c r="F7" s="57">
        <f t="shared" si="0"/>
        <v>4800000</v>
      </c>
      <c r="G7" s="57">
        <f t="shared" si="0"/>
        <v>4800000</v>
      </c>
      <c r="H7" s="57">
        <f t="shared" si="0"/>
        <v>4800000</v>
      </c>
    </row>
    <row r="8" spans="2:8" x14ac:dyDescent="0.2">
      <c r="B8" s="55" t="s">
        <v>16</v>
      </c>
      <c r="C8" s="58">
        <f>0.05</f>
        <v>0.05</v>
      </c>
      <c r="D8" s="57">
        <f>-$C$5*$C$8</f>
        <v>-3000000</v>
      </c>
      <c r="E8" s="57">
        <f t="shared" ref="E8:H8" si="1">-$C$5*$C$8</f>
        <v>-3000000</v>
      </c>
      <c r="F8" s="57">
        <f t="shared" si="1"/>
        <v>-3000000</v>
      </c>
      <c r="G8" s="57">
        <f t="shared" si="1"/>
        <v>-3000000</v>
      </c>
      <c r="H8" s="57">
        <f t="shared" si="1"/>
        <v>-3000000</v>
      </c>
    </row>
    <row r="9" spans="2:8" x14ac:dyDescent="0.2">
      <c r="B9" s="56" t="s">
        <v>13</v>
      </c>
      <c r="C9" s="57">
        <f>SUM(C3:C6)</f>
        <v>-19650000</v>
      </c>
      <c r="D9" s="57">
        <f>D7+D8</f>
        <v>1800000</v>
      </c>
      <c r="E9" s="57">
        <f>E7+E8</f>
        <v>1800000</v>
      </c>
      <c r="F9" s="57">
        <f>F7+F8</f>
        <v>1800000</v>
      </c>
      <c r="G9" s="57">
        <f>G7+G8</f>
        <v>1800000</v>
      </c>
      <c r="H9" s="57">
        <f>H7+H8+H3</f>
        <v>21800000</v>
      </c>
    </row>
    <row r="10" spans="2:8" x14ac:dyDescent="0.2">
      <c r="C10" s="1"/>
      <c r="D10" s="1"/>
      <c r="E10" s="1"/>
      <c r="F10" s="1"/>
      <c r="G10" s="52" t="s">
        <v>1</v>
      </c>
      <c r="H10" s="53">
        <f>IRR(C9:H9,0.1)</f>
        <v>9.4552386257044541E-2</v>
      </c>
    </row>
    <row r="11" spans="2:8" x14ac:dyDescent="0.2">
      <c r="C11" s="1"/>
      <c r="D11" s="1"/>
      <c r="E11" s="1"/>
      <c r="F11" s="1"/>
      <c r="G11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68F91-F0E3-8145-B258-E5C3D25E7749}">
  <sheetPr>
    <tabColor theme="4" tint="0.59999389629810485"/>
  </sheetPr>
  <dimension ref="B3:D8"/>
  <sheetViews>
    <sheetView showGridLines="0" workbookViewId="0">
      <selection activeCell="F21" sqref="F21"/>
    </sheetView>
  </sheetViews>
  <sheetFormatPr baseColWidth="10" defaultColWidth="11" defaultRowHeight="16" x14ac:dyDescent="0.2"/>
  <cols>
    <col min="4" max="4" width="11.83203125" customWidth="1"/>
  </cols>
  <sheetData>
    <row r="3" spans="2:4" x14ac:dyDescent="0.2">
      <c r="B3" s="6" t="s">
        <v>43</v>
      </c>
    </row>
    <row r="4" spans="2:4" x14ac:dyDescent="0.2">
      <c r="B4" s="47" t="s">
        <v>37</v>
      </c>
      <c r="C4" s="47" t="s">
        <v>38</v>
      </c>
      <c r="D4" s="47" t="s">
        <v>39</v>
      </c>
    </row>
    <row r="5" spans="2:4" ht="15.75" customHeight="1" x14ac:dyDescent="0.2">
      <c r="B5" s="50" t="s">
        <v>40</v>
      </c>
      <c r="C5" s="50">
        <v>1010</v>
      </c>
      <c r="D5" s="48">
        <f>C5/C8</f>
        <v>0.32475884244372988</v>
      </c>
    </row>
    <row r="6" spans="2:4" ht="15.75" customHeight="1" x14ac:dyDescent="0.2">
      <c r="B6" s="50" t="s">
        <v>41</v>
      </c>
      <c r="C6" s="50">
        <v>1519</v>
      </c>
      <c r="D6" s="48">
        <f>C6/C8</f>
        <v>0.4884244372990354</v>
      </c>
    </row>
    <row r="7" spans="2:4" ht="15.75" customHeight="1" x14ac:dyDescent="0.2">
      <c r="B7" s="50" t="s">
        <v>42</v>
      </c>
      <c r="C7" s="50">
        <v>581</v>
      </c>
      <c r="D7" s="48">
        <f>C7/C8</f>
        <v>0.18681672025723473</v>
      </c>
    </row>
    <row r="8" spans="2:4" ht="15.75" customHeight="1" x14ac:dyDescent="0.2">
      <c r="B8" s="51" t="s">
        <v>13</v>
      </c>
      <c r="C8" s="51">
        <v>3110</v>
      </c>
      <c r="D8" s="49">
        <f>SUM(D5:D7)</f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7F398-2F62-AE4E-9B60-91A69D15A9DA}">
  <sheetPr>
    <tabColor theme="4" tint="0.59999389629810485"/>
  </sheetPr>
  <dimension ref="B1:I31"/>
  <sheetViews>
    <sheetView showGridLines="0" tabSelected="1" workbookViewId="0">
      <selection activeCell="K11" sqref="K11"/>
    </sheetView>
  </sheetViews>
  <sheetFormatPr baseColWidth="10" defaultColWidth="11" defaultRowHeight="16" x14ac:dyDescent="0.2"/>
  <cols>
    <col min="1" max="1" width="6.6640625" customWidth="1"/>
    <col min="2" max="2" width="35.6640625" customWidth="1"/>
    <col min="4" max="4" width="13.83203125" customWidth="1"/>
    <col min="5" max="5" width="12" customWidth="1"/>
    <col min="7" max="7" width="25.33203125" customWidth="1"/>
    <col min="8" max="8" width="11.83203125" customWidth="1"/>
  </cols>
  <sheetData>
    <row r="1" spans="2:9" ht="17" thickBot="1" x14ac:dyDescent="0.25"/>
    <row r="2" spans="2:9" x14ac:dyDescent="0.2">
      <c r="B2" s="34" t="s">
        <v>2</v>
      </c>
      <c r="C2" s="35">
        <v>100000</v>
      </c>
      <c r="D2" s="7"/>
    </row>
    <row r="3" spans="2:9" x14ac:dyDescent="0.2">
      <c r="B3" s="36" t="s">
        <v>48</v>
      </c>
      <c r="C3" s="37">
        <v>1</v>
      </c>
    </row>
    <row r="4" spans="2:9" x14ac:dyDescent="0.2">
      <c r="B4" s="36" t="s">
        <v>49</v>
      </c>
      <c r="C4" s="38">
        <v>0.2</v>
      </c>
      <c r="D4" s="2"/>
    </row>
    <row r="5" spans="2:9" x14ac:dyDescent="0.2">
      <c r="B5" s="36" t="s">
        <v>50</v>
      </c>
      <c r="C5" s="39">
        <v>0.25</v>
      </c>
      <c r="D5" s="2"/>
    </row>
    <row r="6" spans="2:9" x14ac:dyDescent="0.2">
      <c r="B6" s="36" t="s">
        <v>54</v>
      </c>
      <c r="C6" s="40">
        <v>3</v>
      </c>
    </row>
    <row r="7" spans="2:9" x14ac:dyDescent="0.2">
      <c r="B7" s="36" t="s">
        <v>55</v>
      </c>
      <c r="C7" s="37">
        <v>4</v>
      </c>
    </row>
    <row r="8" spans="2:9" x14ac:dyDescent="0.2">
      <c r="B8" s="36" t="s">
        <v>56</v>
      </c>
      <c r="C8" s="41">
        <v>10000</v>
      </c>
      <c r="D8" s="5"/>
    </row>
    <row r="9" spans="2:9" x14ac:dyDescent="0.2">
      <c r="B9" s="36" t="s">
        <v>51</v>
      </c>
      <c r="C9" s="42">
        <v>25000</v>
      </c>
      <c r="D9" s="5"/>
    </row>
    <row r="10" spans="2:9" x14ac:dyDescent="0.2">
      <c r="B10" s="36" t="s">
        <v>52</v>
      </c>
      <c r="C10" s="43">
        <v>0.01</v>
      </c>
      <c r="D10" s="3"/>
    </row>
    <row r="11" spans="2:9" x14ac:dyDescent="0.2">
      <c r="B11" s="36" t="s">
        <v>53</v>
      </c>
      <c r="C11" s="44">
        <v>0.04</v>
      </c>
      <c r="D11" s="3"/>
    </row>
    <row r="12" spans="2:9" ht="17" thickBot="1" x14ac:dyDescent="0.25">
      <c r="B12" s="45" t="s">
        <v>46</v>
      </c>
      <c r="C12" s="46">
        <v>6.5000000000000002E-2</v>
      </c>
      <c r="D12" s="3"/>
    </row>
    <row r="14" spans="2:9" x14ac:dyDescent="0.2">
      <c r="C14" s="22" t="s">
        <v>8</v>
      </c>
      <c r="D14" s="22" t="s">
        <v>44</v>
      </c>
      <c r="E14" s="23" t="s">
        <v>12</v>
      </c>
      <c r="F14" s="24" t="s">
        <v>63</v>
      </c>
      <c r="G14" s="22" t="s">
        <v>45</v>
      </c>
      <c r="H14" s="23" t="s">
        <v>61</v>
      </c>
      <c r="I14" s="24" t="s">
        <v>62</v>
      </c>
    </row>
    <row r="15" spans="2:9" x14ac:dyDescent="0.2">
      <c r="C15" s="25">
        <v>1</v>
      </c>
      <c r="D15" s="26">
        <v>0</v>
      </c>
      <c r="E15" s="27">
        <f>(1/(1+$F$30)^C15)</f>
        <v>0.93896713615023475</v>
      </c>
      <c r="F15" s="26">
        <f t="shared" ref="F15:F29" si="0">D15*E15</f>
        <v>0</v>
      </c>
      <c r="G15" s="26">
        <v>0</v>
      </c>
      <c r="H15" s="27">
        <f>1/(1+$I$30)^C15</f>
        <v>0.93896713615023475</v>
      </c>
      <c r="I15" s="26">
        <f t="shared" ref="I15:I19" si="1">G15*H15</f>
        <v>0</v>
      </c>
    </row>
    <row r="16" spans="2:9" x14ac:dyDescent="0.2">
      <c r="C16" s="25">
        <v>2</v>
      </c>
      <c r="D16" s="26">
        <f>C2</f>
        <v>100000</v>
      </c>
      <c r="E16" s="27">
        <f>(1/(1+$F$30)^C16)</f>
        <v>0.88165928277017358</v>
      </c>
      <c r="F16" s="26">
        <f t="shared" si="0"/>
        <v>88165.92827701736</v>
      </c>
      <c r="G16" s="26">
        <v>135900</v>
      </c>
      <c r="H16" s="27">
        <f>1/(1+$I$30)^C16</f>
        <v>0.88165928277017358</v>
      </c>
      <c r="I16" s="26">
        <f t="shared" si="1"/>
        <v>119817.4965284666</v>
      </c>
    </row>
    <row r="17" spans="3:9" x14ac:dyDescent="0.2">
      <c r="C17" s="25">
        <v>3</v>
      </c>
      <c r="D17" s="26">
        <f>D16</f>
        <v>100000</v>
      </c>
      <c r="E17" s="27">
        <f>(1/(1+$F$30)^C17)</f>
        <v>0.82784909180297994</v>
      </c>
      <c r="F17" s="26">
        <f t="shared" si="0"/>
        <v>82784.909180297996</v>
      </c>
      <c r="G17" s="26">
        <v>135900</v>
      </c>
      <c r="H17" s="27">
        <f>1/(1+$I$30)^C17</f>
        <v>0.82784909180297994</v>
      </c>
      <c r="I17" s="26">
        <f t="shared" si="1"/>
        <v>112504.69157602497</v>
      </c>
    </row>
    <row r="18" spans="3:9" x14ac:dyDescent="0.2">
      <c r="C18" s="25">
        <v>4</v>
      </c>
      <c r="D18" s="26">
        <f>D17</f>
        <v>100000</v>
      </c>
      <c r="E18" s="27">
        <f>(1/(1+$F$30)^C18)</f>
        <v>0.77732309089481699</v>
      </c>
      <c r="F18" s="26">
        <f t="shared" si="0"/>
        <v>77732.3090894817</v>
      </c>
      <c r="G18" s="26">
        <v>135900</v>
      </c>
      <c r="H18" s="27">
        <f>1/(1+$I$30)^C18</f>
        <v>0.77732309089481699</v>
      </c>
      <c r="I18" s="26">
        <f t="shared" si="1"/>
        <v>105638.20805260562</v>
      </c>
    </row>
    <row r="19" spans="3:9" x14ac:dyDescent="0.2">
      <c r="C19" s="25">
        <v>5</v>
      </c>
      <c r="D19" s="26">
        <f>D18</f>
        <v>100000</v>
      </c>
      <c r="E19" s="27">
        <f>(1/(1+$F$30)^C19)</f>
        <v>0.72988083652095492</v>
      </c>
      <c r="F19" s="26">
        <f t="shared" si="0"/>
        <v>72988.083652095491</v>
      </c>
      <c r="G19" s="26">
        <v>135900</v>
      </c>
      <c r="H19" s="27">
        <f>1/(1+$I$30)^C19</f>
        <v>0.72988083652095492</v>
      </c>
      <c r="I19" s="26">
        <f t="shared" si="1"/>
        <v>99190.805683197774</v>
      </c>
    </row>
    <row r="20" spans="3:9" x14ac:dyDescent="0.2">
      <c r="C20" s="25">
        <v>6</v>
      </c>
      <c r="D20" s="26">
        <v>108100</v>
      </c>
      <c r="E20" s="27">
        <f>(1/(1+$F$30)^C20)</f>
        <v>0.68533411879901873</v>
      </c>
      <c r="F20" s="26">
        <f t="shared" si="0"/>
        <v>74084.618242173921</v>
      </c>
      <c r="G20" s="26">
        <v>81513</v>
      </c>
      <c r="H20" s="27">
        <f>1/(1+$I$30)^C20</f>
        <v>0.68533411879901873</v>
      </c>
      <c r="I20" s="26">
        <f t="shared" ref="I20:I29" si="2">G20*H20</f>
        <v>55863.640025664412</v>
      </c>
    </row>
    <row r="21" spans="3:9" x14ac:dyDescent="0.2">
      <c r="C21" s="25">
        <v>7</v>
      </c>
      <c r="D21" s="26">
        <f>D20</f>
        <v>108100</v>
      </c>
      <c r="E21" s="27">
        <f>(1/(1+$F$30)^C21)</f>
        <v>0.64350621483475945</v>
      </c>
      <c r="F21" s="26">
        <f t="shared" si="0"/>
        <v>69563.021823637493</v>
      </c>
      <c r="G21" s="26">
        <v>87969</v>
      </c>
      <c r="H21" s="27">
        <f>1/(1+$I$30)^C21</f>
        <v>0.64350621483475945</v>
      </c>
      <c r="I21" s="26">
        <f t="shared" si="2"/>
        <v>56608.598212798956</v>
      </c>
    </row>
    <row r="22" spans="3:9" x14ac:dyDescent="0.2">
      <c r="C22" s="25">
        <v>8</v>
      </c>
      <c r="D22" s="26">
        <f>D21</f>
        <v>108100</v>
      </c>
      <c r="E22" s="27">
        <f>(1/(1+$F$30)^C22)</f>
        <v>0.60423118763827188</v>
      </c>
      <c r="F22" s="26">
        <f t="shared" si="0"/>
        <v>65317.391383697191</v>
      </c>
      <c r="G22" s="26">
        <v>104576</v>
      </c>
      <c r="H22" s="27">
        <f>1/(1+$I$30)^C22</f>
        <v>0.60423118763827188</v>
      </c>
      <c r="I22" s="26">
        <f t="shared" si="2"/>
        <v>63188.080678459919</v>
      </c>
    </row>
    <row r="23" spans="3:9" x14ac:dyDescent="0.2">
      <c r="C23" s="25">
        <v>9</v>
      </c>
      <c r="D23" s="26">
        <f>D22</f>
        <v>108100</v>
      </c>
      <c r="E23" s="27">
        <f>(1/(1+$F$30)^C23)</f>
        <v>0.56735322782936326</v>
      </c>
      <c r="F23" s="26">
        <f t="shared" si="0"/>
        <v>61330.883928354167</v>
      </c>
      <c r="G23" s="26">
        <v>107424</v>
      </c>
      <c r="H23" s="27">
        <f>1/(1+$I$30)^C23</f>
        <v>0.56735322782936326</v>
      </c>
      <c r="I23" s="26">
        <f t="shared" si="2"/>
        <v>60947.35314634152</v>
      </c>
    </row>
    <row r="24" spans="3:9" x14ac:dyDescent="0.2">
      <c r="C24" s="25">
        <v>10</v>
      </c>
      <c r="D24" s="26">
        <f>D23</f>
        <v>108100</v>
      </c>
      <c r="E24" s="27">
        <f>(1/(1+$F$30)^C24)</f>
        <v>0.53272603552052888</v>
      </c>
      <c r="F24" s="26">
        <f t="shared" si="0"/>
        <v>57587.684439769175</v>
      </c>
      <c r="G24" s="26">
        <v>107484</v>
      </c>
      <c r="H24" s="27">
        <f>1/(1+$I$30)^C24</f>
        <v>0.53272603552052888</v>
      </c>
      <c r="I24" s="26">
        <f t="shared" si="2"/>
        <v>57259.525201888529</v>
      </c>
    </row>
    <row r="25" spans="3:9" x14ac:dyDescent="0.2">
      <c r="C25" s="25">
        <v>11</v>
      </c>
      <c r="D25" s="26">
        <v>115908</v>
      </c>
      <c r="E25" s="27">
        <f>(1/(1+$F$30)^C25)</f>
        <v>0.50021223992537933</v>
      </c>
      <c r="F25" s="26">
        <f t="shared" si="0"/>
        <v>57978.600305270869</v>
      </c>
      <c r="G25" s="26">
        <v>25200</v>
      </c>
      <c r="H25" s="27">
        <f>1/(1+$I$30)^C25</f>
        <v>0.50021223992537933</v>
      </c>
      <c r="I25" s="26">
        <f t="shared" si="2"/>
        <v>12605.348446119559</v>
      </c>
    </row>
    <row r="26" spans="3:9" x14ac:dyDescent="0.2">
      <c r="C26" s="25">
        <v>12</v>
      </c>
      <c r="D26" s="26">
        <f>D25</f>
        <v>115908</v>
      </c>
      <c r="E26" s="27">
        <f>(1/(1+$F$30)^C26)</f>
        <v>0.4696828543900276</v>
      </c>
      <c r="F26" s="26">
        <f t="shared" si="0"/>
        <v>54440.000286639319</v>
      </c>
      <c r="G26" s="26">
        <v>53931</v>
      </c>
      <c r="H26" s="27">
        <f>1/(1+$I$30)^C26</f>
        <v>0.4696828543900276</v>
      </c>
      <c r="I26" s="26">
        <f t="shared" si="2"/>
        <v>25330.466020108579</v>
      </c>
    </row>
    <row r="27" spans="3:9" x14ac:dyDescent="0.2">
      <c r="C27" s="25">
        <v>13</v>
      </c>
      <c r="D27" s="26">
        <f>D26</f>
        <v>115908</v>
      </c>
      <c r="E27" s="27">
        <f>(1/(1+$F$30)^C27)</f>
        <v>0.44101676468547191</v>
      </c>
      <c r="F27" s="26">
        <f t="shared" si="0"/>
        <v>51117.371161163675</v>
      </c>
      <c r="G27" s="26">
        <v>104907</v>
      </c>
      <c r="H27" s="27">
        <f>1/(1+$I$30)^C27</f>
        <v>0.44101676468547191</v>
      </c>
      <c r="I27" s="26">
        <f t="shared" si="2"/>
        <v>46265.745732858799</v>
      </c>
    </row>
    <row r="28" spans="3:9" x14ac:dyDescent="0.2">
      <c r="C28" s="25">
        <v>14</v>
      </c>
      <c r="D28" s="26">
        <f>D27</f>
        <v>115908</v>
      </c>
      <c r="E28" s="27">
        <f>(1/(1+$F$30)^C28)</f>
        <v>0.41410024853095956</v>
      </c>
      <c r="F28" s="26">
        <f t="shared" si="0"/>
        <v>47997.531606726458</v>
      </c>
      <c r="G28" s="26">
        <v>113256</v>
      </c>
      <c r="H28" s="27">
        <f>1/(1+$I$30)^C28</f>
        <v>0.41410024853095956</v>
      </c>
      <c r="I28" s="26">
        <f t="shared" si="2"/>
        <v>46899.337747622354</v>
      </c>
    </row>
    <row r="29" spans="3:9" x14ac:dyDescent="0.2">
      <c r="C29" s="25">
        <v>15</v>
      </c>
      <c r="D29" s="26">
        <f>D27</f>
        <v>115908</v>
      </c>
      <c r="E29" s="28">
        <f>(1/(1+$F$30)^C29)</f>
        <v>0.38882652444221566</v>
      </c>
      <c r="F29" s="29">
        <f t="shared" si="0"/>
        <v>45068.104795048333</v>
      </c>
      <c r="G29" s="29">
        <v>113256</v>
      </c>
      <c r="H29" s="28">
        <f>1/(1+$I$30)^C29</f>
        <v>0.38882652444221566</v>
      </c>
      <c r="I29" s="29">
        <f t="shared" si="2"/>
        <v>44036.936852227576</v>
      </c>
    </row>
    <row r="30" spans="3:9" x14ac:dyDescent="0.2">
      <c r="C30" s="20"/>
      <c r="D30" s="20"/>
      <c r="E30" s="30" t="s">
        <v>46</v>
      </c>
      <c r="F30" s="31">
        <v>6.5000000000000002E-2</v>
      </c>
      <c r="G30" s="30"/>
      <c r="H30" s="30" t="s">
        <v>46</v>
      </c>
      <c r="I30" s="31">
        <v>6.5000000000000002E-2</v>
      </c>
    </row>
    <row r="31" spans="3:9" x14ac:dyDescent="0.2">
      <c r="C31" s="21"/>
      <c r="D31" s="21"/>
      <c r="E31" s="32" t="s">
        <v>47</v>
      </c>
      <c r="F31" s="33">
        <f>SUM(F15:F29)</f>
        <v>906156.4381713731</v>
      </c>
      <c r="G31" s="32"/>
      <c r="H31" s="32" t="s">
        <v>47</v>
      </c>
      <c r="I31" s="33">
        <f>SUM(I15:I29)</f>
        <v>906156.23390438524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E62C6-F248-2243-9BCE-B77313948DBF}">
  <sheetPr>
    <tabColor theme="4" tint="0.59999389629810485"/>
  </sheetPr>
  <dimension ref="B2:G28"/>
  <sheetViews>
    <sheetView showGridLines="0" workbookViewId="0">
      <selection activeCell="K11" sqref="K11"/>
    </sheetView>
  </sheetViews>
  <sheetFormatPr baseColWidth="10" defaultColWidth="11" defaultRowHeight="16" x14ac:dyDescent="0.2"/>
  <cols>
    <col min="2" max="2" width="15.6640625" customWidth="1"/>
    <col min="3" max="3" width="11.6640625" customWidth="1"/>
    <col min="6" max="6" width="9.83203125" customWidth="1"/>
  </cols>
  <sheetData>
    <row r="2" spans="2:7" ht="15" customHeight="1" thickBot="1" x14ac:dyDescent="0.25">
      <c r="B2" s="6" t="s">
        <v>57</v>
      </c>
    </row>
    <row r="3" spans="2:7" x14ac:dyDescent="0.2">
      <c r="B3" s="9" t="s">
        <v>10</v>
      </c>
      <c r="C3" s="10">
        <v>500000</v>
      </c>
    </row>
    <row r="4" spans="2:7" x14ac:dyDescent="0.2">
      <c r="B4" s="11" t="s">
        <v>7</v>
      </c>
      <c r="C4" s="12">
        <v>0.02</v>
      </c>
    </row>
    <row r="5" spans="2:7" ht="17" thickBot="1" x14ac:dyDescent="0.25">
      <c r="B5" s="13" t="s">
        <v>4</v>
      </c>
      <c r="C5" s="14">
        <v>6.25E-2</v>
      </c>
    </row>
    <row r="6" spans="2:7" x14ac:dyDescent="0.2">
      <c r="C6" s="4"/>
    </row>
    <row r="7" spans="2:7" x14ac:dyDescent="0.2">
      <c r="B7" s="15" t="s">
        <v>8</v>
      </c>
      <c r="C7" s="15" t="s">
        <v>10</v>
      </c>
      <c r="D7" s="15" t="s">
        <v>3</v>
      </c>
      <c r="E7" s="15" t="s">
        <v>11</v>
      </c>
      <c r="F7" s="15" t="s">
        <v>12</v>
      </c>
      <c r="G7" s="15" t="s">
        <v>0</v>
      </c>
    </row>
    <row r="8" spans="2:7" x14ac:dyDescent="0.2">
      <c r="B8" s="15">
        <v>1</v>
      </c>
      <c r="C8" s="16">
        <v>500000</v>
      </c>
      <c r="D8" s="16">
        <v>500000</v>
      </c>
      <c r="E8" s="16">
        <f>C8-D8</f>
        <v>0</v>
      </c>
      <c r="F8" s="17">
        <f>1/(1+$C$5)^B8</f>
        <v>0.94117647058823528</v>
      </c>
      <c r="G8" s="16">
        <f>E8*F8</f>
        <v>0</v>
      </c>
    </row>
    <row r="9" spans="2:7" x14ac:dyDescent="0.2">
      <c r="B9" s="15">
        <v>2</v>
      </c>
      <c r="C9" s="16">
        <f>C8*(1+$C$4)</f>
        <v>510000</v>
      </c>
      <c r="D9" s="16">
        <v>500000</v>
      </c>
      <c r="E9" s="16">
        <f t="shared" ref="E9:E27" si="0">C9-D9</f>
        <v>10000</v>
      </c>
      <c r="F9" s="17">
        <f t="shared" ref="F9:F27" si="1">1/(1+$C$5)^B9</f>
        <v>0.88581314878892736</v>
      </c>
      <c r="G9" s="16">
        <f t="shared" ref="G9:G27" si="2">E9*F9</f>
        <v>8858.1314878892736</v>
      </c>
    </row>
    <row r="10" spans="2:7" x14ac:dyDescent="0.2">
      <c r="B10" s="15">
        <v>3</v>
      </c>
      <c r="C10" s="16">
        <f t="shared" ref="C10:C27" si="3">C9*(1+$C$4)</f>
        <v>520200</v>
      </c>
      <c r="D10" s="16">
        <v>500000</v>
      </c>
      <c r="E10" s="16">
        <f t="shared" si="0"/>
        <v>20200</v>
      </c>
      <c r="F10" s="17">
        <f t="shared" si="1"/>
        <v>0.83370649297781396</v>
      </c>
      <c r="G10" s="16">
        <f t="shared" si="2"/>
        <v>16840.871158151844</v>
      </c>
    </row>
    <row r="11" spans="2:7" x14ac:dyDescent="0.2">
      <c r="B11" s="15">
        <v>4</v>
      </c>
      <c r="C11" s="16">
        <f t="shared" si="3"/>
        <v>530604</v>
      </c>
      <c r="D11" s="16">
        <v>500000</v>
      </c>
      <c r="E11" s="16">
        <f t="shared" si="0"/>
        <v>30604</v>
      </c>
      <c r="F11" s="17">
        <f t="shared" si="1"/>
        <v>0.78466493456735431</v>
      </c>
      <c r="G11" s="16">
        <f t="shared" si="2"/>
        <v>24013.885657499311</v>
      </c>
    </row>
    <row r="12" spans="2:7" x14ac:dyDescent="0.2">
      <c r="B12" s="15">
        <v>5</v>
      </c>
      <c r="C12" s="16">
        <f t="shared" si="3"/>
        <v>541216.07999999996</v>
      </c>
      <c r="D12" s="16">
        <v>500000</v>
      </c>
      <c r="E12" s="16">
        <f t="shared" si="0"/>
        <v>41216.079999999958</v>
      </c>
      <c r="F12" s="17">
        <f t="shared" si="1"/>
        <v>0.73850817371045108</v>
      </c>
      <c r="G12" s="16">
        <f t="shared" si="2"/>
        <v>30438.411968303819</v>
      </c>
    </row>
    <row r="13" spans="2:7" x14ac:dyDescent="0.2">
      <c r="B13" s="15">
        <v>6</v>
      </c>
      <c r="C13" s="16">
        <f t="shared" si="3"/>
        <v>552040.40159999998</v>
      </c>
      <c r="D13" s="16">
        <v>500000</v>
      </c>
      <c r="E13" s="16">
        <f t="shared" si="0"/>
        <v>52040.401599999983</v>
      </c>
      <c r="F13" s="17">
        <f t="shared" si="1"/>
        <v>0.69506651643336581</v>
      </c>
      <c r="G13" s="16">
        <f t="shared" si="2"/>
        <v>36171.540653905344</v>
      </c>
    </row>
    <row r="14" spans="2:7" x14ac:dyDescent="0.2">
      <c r="B14" s="15">
        <v>7</v>
      </c>
      <c r="C14" s="16">
        <f t="shared" si="3"/>
        <v>563081.20963199995</v>
      </c>
      <c r="D14" s="16">
        <v>500000</v>
      </c>
      <c r="E14" s="16">
        <f t="shared" si="0"/>
        <v>63081.209631999955</v>
      </c>
      <c r="F14" s="17">
        <f t="shared" si="1"/>
        <v>0.65418025076081487</v>
      </c>
      <c r="G14" s="16">
        <f t="shared" si="2"/>
        <v>41266.481535357263</v>
      </c>
    </row>
    <row r="15" spans="2:7" x14ac:dyDescent="0.2">
      <c r="B15" s="15">
        <v>8</v>
      </c>
      <c r="C15" s="16">
        <f t="shared" si="3"/>
        <v>574342.83382463991</v>
      </c>
      <c r="D15" s="16">
        <v>500000</v>
      </c>
      <c r="E15" s="16">
        <f t="shared" si="0"/>
        <v>74342.833824639907</v>
      </c>
      <c r="F15" s="17">
        <f t="shared" si="1"/>
        <v>0.61569905953959048</v>
      </c>
      <c r="G15" s="16">
        <f t="shared" si="2"/>
        <v>45772.81286933885</v>
      </c>
    </row>
    <row r="16" spans="2:7" x14ac:dyDescent="0.2">
      <c r="B16" s="15">
        <v>9</v>
      </c>
      <c r="C16" s="16">
        <f t="shared" si="3"/>
        <v>585829.69050113275</v>
      </c>
      <c r="D16" s="16">
        <v>500000</v>
      </c>
      <c r="E16" s="16">
        <f t="shared" si="0"/>
        <v>85829.690501132747</v>
      </c>
      <c r="F16" s="17">
        <f t="shared" si="1"/>
        <v>0.57948146780196752</v>
      </c>
      <c r="G16" s="16">
        <f t="shared" si="2"/>
        <v>49736.715032584994</v>
      </c>
    </row>
    <row r="17" spans="2:7" x14ac:dyDescent="0.2">
      <c r="B17" s="15">
        <v>10</v>
      </c>
      <c r="C17" s="16">
        <f t="shared" si="3"/>
        <v>597546.28431115544</v>
      </c>
      <c r="D17" s="16">
        <v>500000</v>
      </c>
      <c r="E17" s="16">
        <f t="shared" si="0"/>
        <v>97546.284311155439</v>
      </c>
      <c r="F17" s="17">
        <f t="shared" si="1"/>
        <v>0.54539432263714582</v>
      </c>
      <c r="G17" s="16">
        <f t="shared" si="2"/>
        <v>53201.189657653063</v>
      </c>
    </row>
    <row r="18" spans="2:7" x14ac:dyDescent="0.2">
      <c r="B18" s="15">
        <v>11</v>
      </c>
      <c r="C18" s="16">
        <f t="shared" si="3"/>
        <v>609497.20999737852</v>
      </c>
      <c r="D18" s="16">
        <v>500000</v>
      </c>
      <c r="E18" s="16">
        <f t="shared" si="0"/>
        <v>109497.20999737852</v>
      </c>
      <c r="F18" s="17">
        <f t="shared" si="1"/>
        <v>0.51331230365849023</v>
      </c>
      <c r="G18" s="16">
        <f t="shared" si="2"/>
        <v>56206.265107931838</v>
      </c>
    </row>
    <row r="19" spans="2:7" x14ac:dyDescent="0.2">
      <c r="B19" s="15">
        <v>12</v>
      </c>
      <c r="C19" s="16">
        <f t="shared" si="3"/>
        <v>621687.15419732605</v>
      </c>
      <c r="D19" s="16">
        <v>500000</v>
      </c>
      <c r="E19" s="16">
        <f t="shared" si="0"/>
        <v>121687.15419732605</v>
      </c>
      <c r="F19" s="17">
        <f t="shared" si="1"/>
        <v>0.48311746226681429</v>
      </c>
      <c r="G19" s="16">
        <f t="shared" si="2"/>
        <v>58789.189126282676</v>
      </c>
    </row>
    <row r="20" spans="2:7" x14ac:dyDescent="0.2">
      <c r="B20" s="15">
        <v>13</v>
      </c>
      <c r="C20" s="16">
        <f t="shared" si="3"/>
        <v>634120.89728127257</v>
      </c>
      <c r="D20" s="16">
        <v>500000</v>
      </c>
      <c r="E20" s="16">
        <f t="shared" si="0"/>
        <v>134120.89728127257</v>
      </c>
      <c r="F20" s="17">
        <f t="shared" si="1"/>
        <v>0.45469878801582531</v>
      </c>
      <c r="G20" s="16">
        <f t="shared" si="2"/>
        <v>60984.609441389635</v>
      </c>
    </row>
    <row r="21" spans="2:7" x14ac:dyDescent="0.2">
      <c r="B21" s="15">
        <v>14</v>
      </c>
      <c r="C21" s="16">
        <f t="shared" si="3"/>
        <v>646803.31522689806</v>
      </c>
      <c r="D21" s="16">
        <v>500000</v>
      </c>
      <c r="E21" s="16">
        <f t="shared" si="0"/>
        <v>146803.31522689806</v>
      </c>
      <c r="F21" s="17">
        <f t="shared" si="1"/>
        <v>0.42795180048548259</v>
      </c>
      <c r="G21" s="16">
        <f t="shared" si="2"/>
        <v>62824.74306858889</v>
      </c>
    </row>
    <row r="22" spans="2:7" x14ac:dyDescent="0.2">
      <c r="B22" s="15">
        <v>15</v>
      </c>
      <c r="C22" s="16">
        <f t="shared" si="3"/>
        <v>659739.381531436</v>
      </c>
      <c r="D22" s="16">
        <v>500000</v>
      </c>
      <c r="E22" s="16">
        <f t="shared" si="0"/>
        <v>159739.381531436</v>
      </c>
      <c r="F22" s="17">
        <f t="shared" si="1"/>
        <v>0.40277816516280712</v>
      </c>
      <c r="G22" s="16">
        <f t="shared" si="2"/>
        <v>64339.534997473391</v>
      </c>
    </row>
    <row r="23" spans="2:7" x14ac:dyDescent="0.2">
      <c r="B23" s="15">
        <v>16</v>
      </c>
      <c r="C23" s="16">
        <f t="shared" si="3"/>
        <v>672934.16916206467</v>
      </c>
      <c r="D23" s="16">
        <v>500000</v>
      </c>
      <c r="E23" s="16">
        <f t="shared" si="0"/>
        <v>172934.16916206467</v>
      </c>
      <c r="F23" s="17">
        <f t="shared" si="1"/>
        <v>0.37908533191793609</v>
      </c>
      <c r="G23" s="16">
        <f t="shared" si="2"/>
        <v>65556.806916753791</v>
      </c>
    </row>
    <row r="24" spans="2:7" x14ac:dyDescent="0.2">
      <c r="B24" s="15">
        <v>17</v>
      </c>
      <c r="C24" s="16">
        <f t="shared" si="3"/>
        <v>686392.85254530597</v>
      </c>
      <c r="D24" s="16">
        <v>500000</v>
      </c>
      <c r="E24" s="16">
        <f t="shared" si="0"/>
        <v>186392.85254530597</v>
      </c>
      <c r="F24" s="17">
        <f t="shared" si="1"/>
        <v>0.35678619474629281</v>
      </c>
      <c r="G24" s="16">
        <f t="shared" si="2"/>
        <v>66502.39658754658</v>
      </c>
    </row>
    <row r="25" spans="2:7" x14ac:dyDescent="0.2">
      <c r="B25" s="15">
        <v>18</v>
      </c>
      <c r="C25" s="16">
        <f t="shared" si="3"/>
        <v>700120.70959621214</v>
      </c>
      <c r="D25" s="16">
        <v>500000</v>
      </c>
      <c r="E25" s="16">
        <f t="shared" si="0"/>
        <v>200120.70959621214</v>
      </c>
      <c r="F25" s="17">
        <f t="shared" si="1"/>
        <v>0.33579877152592269</v>
      </c>
      <c r="G25" s="16">
        <f t="shared" si="2"/>
        <v>67200.288439303971</v>
      </c>
    </row>
    <row r="26" spans="2:7" x14ac:dyDescent="0.2">
      <c r="B26" s="15">
        <v>19</v>
      </c>
      <c r="C26" s="16">
        <f t="shared" si="3"/>
        <v>714123.12378813641</v>
      </c>
      <c r="D26" s="16">
        <v>500000</v>
      </c>
      <c r="E26" s="16">
        <f t="shared" si="0"/>
        <v>214123.12378813641</v>
      </c>
      <c r="F26" s="17">
        <f t="shared" si="1"/>
        <v>0.3160459026126331</v>
      </c>
      <c r="G26" s="16">
        <f t="shared" si="2"/>
        <v>67672.735927858143</v>
      </c>
    </row>
    <row r="27" spans="2:7" x14ac:dyDescent="0.2">
      <c r="B27" s="15">
        <v>20</v>
      </c>
      <c r="C27" s="16">
        <f t="shared" si="3"/>
        <v>728405.58626389911</v>
      </c>
      <c r="D27" s="16">
        <v>500000</v>
      </c>
      <c r="E27" s="16">
        <f t="shared" si="0"/>
        <v>228405.58626389911</v>
      </c>
      <c r="F27" s="17">
        <f t="shared" si="1"/>
        <v>0.29745496716483116</v>
      </c>
      <c r="G27" s="16">
        <f t="shared" si="2"/>
        <v>67940.376162392116</v>
      </c>
    </row>
    <row r="28" spans="2:7" x14ac:dyDescent="0.2">
      <c r="B28" s="18" t="s">
        <v>13</v>
      </c>
      <c r="C28" s="18"/>
      <c r="D28" s="18"/>
      <c r="E28" s="18"/>
      <c r="F28" s="18"/>
      <c r="G28" s="19">
        <f>SUM(G8:G27)</f>
        <v>944316.98579620477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Figures 10.1-6</vt:lpstr>
      <vt:lpstr>Table 10.1</vt:lpstr>
      <vt:lpstr>Table 10.2</vt:lpstr>
      <vt:lpstr>Tables 10.3, 10.4</vt:lpstr>
      <vt:lpstr>Table 10.8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Baum</dc:creator>
  <cp:lastModifiedBy>Andrew Baum</cp:lastModifiedBy>
  <dcterms:created xsi:type="dcterms:W3CDTF">2021-12-23T14:55:21Z</dcterms:created>
  <dcterms:modified xsi:type="dcterms:W3CDTF">2022-07-11T06:42:35Z</dcterms:modified>
</cp:coreProperties>
</file>